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<sst xmlns="http://schemas.openxmlformats.org/spreadsheetml/2006/main" count="814" uniqueCount="342">
  <si>
    <t xml:space="preserve">ИСПОЛНЕНИЕ РАСХОДНОЙ ЧАСТИ </t>
  </si>
  <si>
    <t/>
  </si>
  <si>
    <t>Коды</t>
  </si>
  <si>
    <t>на</t>
  </si>
  <si>
    <t>30.11.2021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</si>
  <si>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</si>
  <si>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</si>
  <si>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</si>
  <si>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</si>
  <si>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</si>
  <si>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</si>
  <si>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</si>
  <si>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</si>
  <si>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</si>
  <si>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</si>
  <si>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</si>
  <si>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</si>
  <si>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с=01.01.2021; по=30.11.2021; Баланс=Финансовый орган; Сформировать по=сводной росписи  </t>
  </si>
  <si>
    <t>Код по Бюджетной классификации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</si>
  <si>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</si>
  <si>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</si>
  <si>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</si>
  <si>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</si>
  <si>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</si>
  <si>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</si>
  <si>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</si>
  <si>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</si>
  <si>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</si>
  <si>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</si>
  <si>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</si>
  <si>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</si>
  <si>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</si>
  <si>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</si>
  <si>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</si>
  <si>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</si>
  <si>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</si>
  <si>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</si>
  <si>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650 0000 0000000000 000</t>
  </si>
  <si>
    <t>АДМИНИСТРАЦИЯ СЕЛЬСКОГО ПОСЕЛЕНИЯ ГОРНОПРАВДИНСК</t>
  </si>
  <si>
    <t>82,01</t>
  </si>
  <si>
    <t>650 0102 0000000000 000</t>
  </si>
  <si>
    <t>Функционирование высшего должностного лица субъекта Российской Федерации и муниципального образования</t>
  </si>
  <si>
    <t>87,81</t>
  </si>
  <si>
    <t>650 0102 1900102030 000</t>
  </si>
  <si>
    <t>Глава муниципального образования</t>
  </si>
  <si>
    <t>87,73</t>
  </si>
  <si>
    <t>650 0102 1900102030 121</t>
  </si>
  <si>
    <t>Фонд оплаты труда и страховые взносы</t>
  </si>
  <si>
    <t>87,08</t>
  </si>
  <si>
    <t>650 0102 1900102030 129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</si>
  <si>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</si>
  <si>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90,04</t>
  </si>
  <si>
    <t>650 0102 7000020701 000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</si>
  <si>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глава)</t>
  </si>
  <si>
    <t>100,00</t>
  </si>
  <si>
    <t>650 0102 7000020701 121</t>
  </si>
  <si>
    <t>650 0102 7000020701 129</t>
  </si>
  <si>
    <t>650 0104 0000000000 000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</si>
  <si>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</si>
  <si>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84,13</t>
  </si>
  <si>
    <t>650 0104 1900102040 000</t>
  </si>
  <si>
    <t>Обеспечение функций органов местного самоуправления (денежное содержание ДМС)</t>
  </si>
  <si>
    <t>86,14</t>
  </si>
  <si>
    <t>650 0104 1900102040 121</t>
  </si>
  <si>
    <t>87,18</t>
  </si>
  <si>
    <t>650 0104 1900102040 129</t>
  </si>
  <si>
    <t>82,64</t>
  </si>
  <si>
    <t>650 0104 1900102050 000</t>
  </si>
  <si>
    <t>Обеспечение функций органов местного самоуправления (должности не отнесенные к ДМС)</t>
  </si>
  <si>
    <t>80,66</t>
  </si>
  <si>
    <t>650 0104 1900102050 121</t>
  </si>
  <si>
    <t>83,58</t>
  </si>
  <si>
    <t>650 0104 1900102050 129</t>
  </si>
  <si>
    <t>71,46</t>
  </si>
  <si>
    <t>650 0104 1900102400 000</t>
  </si>
  <si>
    <t>Прочие мероприятия органов местного самоуправления</t>
  </si>
  <si>
    <t>61,56</t>
  </si>
  <si>
    <t>650 0104 1900102400 122</t>
  </si>
  <si>
    <t>Иные выплаты персоналу, за исключением фонда оплаты труда</t>
  </si>
  <si>
    <t>650 0104 7000020702 000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</si>
  <si>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</si>
  <si>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650 0104 7000020702 121</t>
  </si>
  <si>
    <t>650 0104 7000020702 129</t>
  </si>
  <si>
    <t>650 0104 7000020703 000</t>
  </si>
  <si>
    <t>Расходы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 не отнесенные к ДМС)</t>
  </si>
  <si>
    <t>650 0104 7000020703 121</t>
  </si>
  <si>
    <t>650 0104 7000020703 129</t>
  </si>
  <si>
    <t>650 0106 0000000000 000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</si>
  <si>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</si>
  <si>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650 0106 7000089020 000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</si>
  <si>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</si>
  <si>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650 0106 7000089020 540</t>
  </si>
  <si>
    <t>Иные межбюджетные трансферты</t>
  </si>
  <si>
    <t>650 0113 0000000000 000</t>
  </si>
  <si>
    <t>Другие общегосударственные вопросы</t>
  </si>
  <si>
    <t>63,33</t>
  </si>
  <si>
    <t>650 0113 1900299990 000</t>
  </si>
  <si>
    <t>Реализация мероприятий</t>
  </si>
  <si>
    <t>68,47</t>
  </si>
  <si>
    <t>650 0113 1900299990 244</t>
  </si>
  <si>
    <t>Прочая закупка товаров, работ и услуг для государственных (муниципальных) нужд</t>
  </si>
  <si>
    <t>69,09</t>
  </si>
  <si>
    <t>650 0113 1900299990 247</t>
  </si>
  <si>
    <t>Закупка энергетических ресурсов</t>
  </si>
  <si>
    <t>66,59</t>
  </si>
  <si>
    <t>650 0113 1900299990 851</t>
  </si>
  <si>
    <t>Уплата налога на имущество организаций и земельного налога</t>
  </si>
  <si>
    <t>61,71</t>
  </si>
  <si>
    <t>650 0113 1900299990 852</t>
  </si>
  <si>
    <t>Уплата прочих налогов, сборов и иных платежей</t>
  </si>
  <si>
    <t>54,80</t>
  </si>
  <si>
    <t>650 0113 1900299990 853</t>
  </si>
  <si>
    <t>Уплата иных платежей</t>
  </si>
  <si>
    <t>650 0113 2200199990 000</t>
  </si>
  <si>
    <t>0,00</t>
  </si>
  <si>
    <t>650 0113 2200199990 244</t>
  </si>
  <si>
    <t>650 0113 2200299990 000</t>
  </si>
  <si>
    <t>39,01</t>
  </si>
  <si>
    <t>650 0113 2200299990 244</t>
  </si>
  <si>
    <t>65,01</t>
  </si>
  <si>
    <t>650 0113 2200299990 247</t>
  </si>
  <si>
    <t>650 0203 0000000000 000</t>
  </si>
  <si>
    <t>Мобилизационная и вневойсковая подготовка</t>
  </si>
  <si>
    <t>86,34</t>
  </si>
  <si>
    <t>650 0203 7000051180 000</t>
  </si>
  <si>
    <t>Субвенции на осуществление первичного воинского учета на территориях, где отсутствуют военные комиссариаты</t>
  </si>
  <si>
    <t>650 0203 7000051180 121</t>
  </si>
  <si>
    <t>87,14</t>
  </si>
  <si>
    <t>650 0203 7000051180 129</t>
  </si>
  <si>
    <t>83,68</t>
  </si>
  <si>
    <t>650 0304 0000000000 000</t>
  </si>
  <si>
    <t>Органы юстиции</t>
  </si>
  <si>
    <t>72,84</t>
  </si>
  <si>
    <t>650 0304 7000059300 000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</si>
  <si>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</si>
  <si>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83,81</t>
  </si>
  <si>
    <t>650 0304 7000059300 121</t>
  </si>
  <si>
    <t>650 0304 70000D9300 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</si>
  <si>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</si>
  <si>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57,38</t>
  </si>
  <si>
    <t>650 0304 70000D9300 129</t>
  </si>
  <si>
    <t>76,82</t>
  </si>
  <si>
    <t>650 0304 70000D9300 244</t>
  </si>
  <si>
    <t>42,96</t>
  </si>
  <si>
    <t>650 0310 0000000000 000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</si>
  <si>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</si>
  <si>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38,15</t>
  </si>
  <si>
    <t>650 0310 1410199990 000</t>
  </si>
  <si>
    <t>78,35</t>
  </si>
  <si>
    <t>650 0310 1410199990 244</t>
  </si>
  <si>
    <t>650 0310 1420120803 000</t>
  </si>
  <si>
    <t>Устройство защитных противопожарных полос в населенных пунктах района</t>
  </si>
  <si>
    <t>650 0310 1420120803 244</t>
  </si>
  <si>
    <t>650 0310 1420199990 000</t>
  </si>
  <si>
    <t>650 0310 1420199990 244</t>
  </si>
  <si>
    <t>650 0314 0000000000 000</t>
  </si>
  <si>
    <t>Другие вопросы в области национальной безопасности и правоохранительной деятельности</t>
  </si>
  <si>
    <t>650 0314 13000S2300 000</t>
  </si>
  <si>
    <t>Субсидии для создания условий деятельности народных дружин (софинансирование сельских поселений)</t>
  </si>
  <si>
    <t>650 0314 13000S2300 244</t>
  </si>
  <si>
    <t>650 0314 1310182300 000</t>
  </si>
  <si>
    <t>Субсидии для создания условий для деятельности народных дружин</t>
  </si>
  <si>
    <t>650 0314 1310182300 244</t>
  </si>
  <si>
    <t>650 0401 0000000000 000</t>
  </si>
  <si>
    <t>Общеэкономические вопросы</t>
  </si>
  <si>
    <t>650 0401 7000085060 000</t>
  </si>
  <si>
    <t>Иные межбюджетные трансферты на реализацию мероприятий по содействию трудоустройству граждан в рамках государственной программы «Поддержка занятости населения»  (за счет средств бюджета автономного округа)</t>
  </si>
  <si>
    <t>650 0401 7000085060 612</t>
  </si>
  <si>
    <t>Субсидии бюджетным учреждениям на иные цели</t>
  </si>
  <si>
    <t>650 0405 0000000000 000</t>
  </si>
  <si>
    <t>Сельское хозяйство и рыболовство</t>
  </si>
  <si>
    <t>66,64</t>
  </si>
  <si>
    <t>650 0405 0850120814 000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</si>
  <si>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«Развитие агропромышленного комплекса Ханты-Мансийского района на 2021 – 2023 годы».</t>
  </si>
  <si>
    <t>650 0405 0850120814 244</t>
  </si>
  <si>
    <t>650 0405 0850120827 000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</si>
  <si>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</si>
  <si>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99,93</t>
  </si>
  <si>
    <t>650 0405 0850120827 244</t>
  </si>
  <si>
    <t>650 0405 0850184200 000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</si>
  <si>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</si>
  <si>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650 0405 0850184200 244</t>
  </si>
  <si>
    <t>650 0405 7000099990 000</t>
  </si>
  <si>
    <t>650 0405 7000099990 244</t>
  </si>
  <si>
    <t>650 0409 0000000000 000</t>
  </si>
  <si>
    <t>Дорожное хозяйство (дорожные фонды)</t>
  </si>
  <si>
    <t>91,59</t>
  </si>
  <si>
    <t>650 0409 7000099990 000</t>
  </si>
  <si>
    <t>650 0409 7000099990 244</t>
  </si>
  <si>
    <t>650 0410 0000000000 000</t>
  </si>
  <si>
    <t>Связь и информатика</t>
  </si>
  <si>
    <t>79,52</t>
  </si>
  <si>
    <t>650 0410 1900220070 000</t>
  </si>
  <si>
    <t>Услуги в области информационных технологий</t>
  </si>
  <si>
    <t>650 0410 1900220070 244</t>
  </si>
  <si>
    <t>650 0412 0000000000 000</t>
  </si>
  <si>
    <t>Другие вопросы в области национальной экономики</t>
  </si>
  <si>
    <t>86,19</t>
  </si>
  <si>
    <t>650 0412 1600199990 000</t>
  </si>
  <si>
    <t>650 0412 1600199990 244</t>
  </si>
  <si>
    <t>650 0412 2200399990 000</t>
  </si>
  <si>
    <t>94,64</t>
  </si>
  <si>
    <t>650 0412 2200399990 244</t>
  </si>
  <si>
    <t>86,96</t>
  </si>
  <si>
    <t>650 0412 2200399990 245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</si>
  <si>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</si>
  <si>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650 0412 7000089020 000</t>
  </si>
  <si>
    <t>91,67</t>
  </si>
  <si>
    <t>650 0412 7000089020 540</t>
  </si>
  <si>
    <t>650 0412 7000099990 000</t>
  </si>
  <si>
    <t>650 0412 7000099990 244</t>
  </si>
  <si>
    <t>650 0501 0000000000 000</t>
  </si>
  <si>
    <t>Жилищное хозяйство</t>
  </si>
  <si>
    <t>89,04</t>
  </si>
  <si>
    <t>650 0501 1100199990 000</t>
  </si>
  <si>
    <t>650 0501 1100199990 244</t>
  </si>
  <si>
    <t>650 0501 2200199990 000</t>
  </si>
  <si>
    <t>83,16</t>
  </si>
  <si>
    <t>650 0501 2200199990 244</t>
  </si>
  <si>
    <t>650 0501 2200299990 000</t>
  </si>
  <si>
    <t>74,24</t>
  </si>
  <si>
    <t>650 0501 2200299990 244</t>
  </si>
  <si>
    <t>650 0502 0000000000 000</t>
  </si>
  <si>
    <t>Коммунальное хозяйство</t>
  </si>
  <si>
    <t>66,32</t>
  </si>
  <si>
    <t>650 0502 7000020813 000</t>
  </si>
  <si>
    <t>Субсидии в целях софинансирования расходных обязательств, возникающих при выполнении полномочий органов местного самоуправления сельских поселений по содержанию муниципального жилищного фонда в рамках реализации муниципальная программа "Развитие и модернизация жилищно-коммунального комплекса и повышение энергетической эффективности в Ханты-Мансийском районе на 2019 - 2024 годы".</t>
  </si>
  <si>
    <t>650 0502 7000020813 811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</si>
  <si>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</si>
  <si>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650 0502 7000099990 000</t>
  </si>
  <si>
    <t>88,04</t>
  </si>
  <si>
    <t>650 0502 7000099990 244</t>
  </si>
  <si>
    <t>650 0502 7000099990 811</t>
  </si>
  <si>
    <t>87,87</t>
  </si>
  <si>
    <t>650 0503 0000000000 000</t>
  </si>
  <si>
    <t>Благоустройство</t>
  </si>
  <si>
    <t>67,58</t>
  </si>
  <si>
    <t>650 0503 1210120812 000</t>
  </si>
  <si>
    <t>Субсидии за счет средств бюджета района в целях софинансирования расходных обязательств, возникающих при выполнении полномочий органов местного самоуправления сельских поселений по решению вопросов местного значения в рамках реализации муниципальной программы "Благоустройство населенных пунктов Ханты-Мансийского района на 2021-2025 годы"</t>
  </si>
  <si>
    <t>35,76</t>
  </si>
  <si>
    <t>650 0503 1210120812 244</t>
  </si>
  <si>
    <t>650 0503 1210120826 000</t>
  </si>
  <si>
    <t>Расходы на проведение мероприятий по вывозу снега и защите населенных пунктов от угрозы подтопления талыми водами</t>
  </si>
  <si>
    <t>650 0503 1210120826 244</t>
  </si>
  <si>
    <t>650 0503 1210199990 000</t>
  </si>
  <si>
    <t>73,09</t>
  </si>
  <si>
    <t>650 0503 1210199990 244</t>
  </si>
  <si>
    <t>650 0503 12101L5760 000</t>
  </si>
  <si>
    <t>Субсидии на реализацию проекта по благоустройству сельских территорий "Выполнение работ по благоустройству территории березовой рощи в п. Горноправдинск"</t>
  </si>
  <si>
    <t>650 0503 12101L5760 244</t>
  </si>
  <si>
    <t>650 0503 1210299990 000</t>
  </si>
  <si>
    <t>70,18</t>
  </si>
  <si>
    <t>650 0503 1210299990 244</t>
  </si>
  <si>
    <t>650 0503 1210399990 000</t>
  </si>
  <si>
    <t>61,59</t>
  </si>
  <si>
    <t>650 0503 1210399990 244</t>
  </si>
  <si>
    <t>650 0503 1210499990 000</t>
  </si>
  <si>
    <t>63,99</t>
  </si>
  <si>
    <t>650 0503 1210499990 244</t>
  </si>
  <si>
    <t>46,27</t>
  </si>
  <si>
    <t>650 0503 1210499990 247</t>
  </si>
  <si>
    <t>73,64</t>
  </si>
  <si>
    <t>650 0503 1210599990 000</t>
  </si>
  <si>
    <t>650 0503 1210599990 244</t>
  </si>
  <si>
    <t>650 0503 1210682754 000</t>
  </si>
  <si>
    <t>Реализация инициативных проектов "Благоустройство лыжероллерной трассы "Спорт- это здоровье" в п.Горноправдинск (веревочный парк)</t>
  </si>
  <si>
    <t>83,71</t>
  </si>
  <si>
    <t>650 0503 1210682754 244</t>
  </si>
  <si>
    <t>650 0503 12106S2754 000</t>
  </si>
  <si>
    <t>Софинансирование расходов на реализацию инициативных проектов "Благоустройство лыжероллерной трассы «Спорт – это здоровье» в п. Горноправдинск (веревочный парк)"</t>
  </si>
  <si>
    <t>650 0503 12106S2754 244</t>
  </si>
  <si>
    <t>650 0503 122F255550 000</t>
  </si>
  <si>
    <t>Реализация подпрограмм формирования современной городской среды</t>
  </si>
  <si>
    <t>90,40</t>
  </si>
  <si>
    <t>650 0503 122F255550 244</t>
  </si>
  <si>
    <t>650 0503 122F282600 000</t>
  </si>
  <si>
    <t>Благоустройство территорий муниципальных образований за счет средств бюджета автономного округа</t>
  </si>
  <si>
    <t>650 0503 122F282600 244</t>
  </si>
  <si>
    <t>650 0503 122F2S2600 000</t>
  </si>
  <si>
    <t>Софинансирование расходов на благоустройство территорий муниципальных образований за счет средств сельских поселений</t>
  </si>
  <si>
    <t>650 0503 122F2S2600 244</t>
  </si>
  <si>
    <t>650 0503 7000089020 000</t>
  </si>
  <si>
    <t>650 0503 7000089020 540</t>
  </si>
  <si>
    <t>650 0605 0000000000 000</t>
  </si>
  <si>
    <t>Другие вопросы в области охраны окружающей среды</t>
  </si>
  <si>
    <t>99,67</t>
  </si>
  <si>
    <t>650 0605 7000020828 000</t>
  </si>
  <si>
    <t>Субсидии муниципальным предприятиям</t>
  </si>
  <si>
    <t>650 0605 7000020828 244</t>
  </si>
  <si>
    <t>650 0605 7000084290 000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</si>
  <si>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</si>
  <si>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650 0605 7000084290 244</t>
  </si>
  <si>
    <t>650 0707 0000000000 000</t>
  </si>
  <si>
    <t>Молодежная политика</t>
  </si>
  <si>
    <t>99,39</t>
  </si>
  <si>
    <t>650 0707 7000020825 000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</si>
  <si>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</si>
  <si>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99,37</t>
  </si>
  <si>
    <t>650 0707 7000020825 612</t>
  </si>
  <si>
    <t>650 0707 7000020829 000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</si>
  <si>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</si>
  <si>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650 0707 7000020829 612</t>
  </si>
  <si>
    <t>650 0801 0000000000 000</t>
  </si>
  <si>
    <t>Культура</t>
  </si>
  <si>
    <t>92,94</t>
  </si>
  <si>
    <t>650 0801 0500100601 000</t>
  </si>
  <si>
    <t>Ассигнования, предусмотренные на реализацию указов Президента Российской Федерации от 7 мая 2012 года №597 "О мероприятиях по реализации государственной социальной политики"</t>
  </si>
  <si>
    <t>73,01</t>
  </si>
  <si>
    <t>650 0801 0500100601 611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</si>
  <si>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</si>
  <si>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650 0801 0500161990 000</t>
  </si>
  <si>
    <t>Субсидии бюджетным и автономным учреждениям, некоммерческим организациям</t>
  </si>
  <si>
    <t>98,47</t>
  </si>
  <si>
    <t>650 0801 0500161990 611</t>
  </si>
  <si>
    <t>650 0801 0500200601 000</t>
  </si>
  <si>
    <t>72,12</t>
  </si>
  <si>
    <t>650 0801 0500200601 611</t>
  </si>
  <si>
    <t>650 0801 0500261990 000</t>
  </si>
  <si>
    <t>97,54</t>
  </si>
  <si>
    <t>650 0801 0500261990 611</t>
  </si>
  <si>
    <t>650 0801 7000061990 000</t>
  </si>
  <si>
    <t>650 0801 7000061990 612</t>
  </si>
  <si>
    <t>650 0907 0000000000 000</t>
  </si>
  <si>
    <t>Санитарно-эпидемиологическое благополучие</t>
  </si>
  <si>
    <t>650 0907 7000020705 000</t>
  </si>
  <si>
    <t>Финансовое обеспечение мероприятий, связанных с профилактикой и устранением последствий распространения новой короновирусной инфекции (COVID-19)</t>
  </si>
  <si>
    <t>650 0907 7000020705 244</t>
  </si>
  <si>
    <t>650 1001 0000000000 000</t>
  </si>
  <si>
    <t>Пенсионное обеспечение</t>
  </si>
  <si>
    <t>650 1001 1900399990 000</t>
  </si>
  <si>
    <t>650 1001 1900399990 312</t>
  </si>
  <si>
    <t>Пенсии, выплачиваемые организациями сектора государственного управления</t>
  </si>
  <si>
    <t>650 1101 0000000000 000</t>
  </si>
  <si>
    <t>Физическая культура</t>
  </si>
  <si>
    <t>96,19</t>
  </si>
  <si>
    <t>650 1101 0500361990 000</t>
  </si>
  <si>
    <t>96,09</t>
  </si>
  <si>
    <t>650 1101 0500361990 611</t>
  </si>
  <si>
    <t>650 1101 7000061990 000</t>
  </si>
  <si>
    <t>99,40</t>
  </si>
  <si>
    <t>650 1101 7000061990 612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</si>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</sst>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9"/>
  <sheetViews>
    <sheetView tabSelected="1" zoomScalePageLayoutView="0" workbookViewId="0" topLeftCell="A151">
      <selection activeCell="X198" sqref="X198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1" customFormat="1" ht="13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" t="s">
        <v>2</v>
      </c>
    </row>
    <row r="3" spans="1:19" s="1" customFormat="1" ht="13.5" customHeight="1">
      <c r="A3" s="44" t="s">
        <v>3</v>
      </c>
      <c r="B3" s="44"/>
      <c r="C3" s="44"/>
      <c r="D3" s="44"/>
      <c r="E3" s="44"/>
      <c r="F3" s="44"/>
      <c r="G3" s="44"/>
      <c r="H3" s="44"/>
      <c r="I3" s="44"/>
      <c r="J3" s="45" t="s">
        <v>4</v>
      </c>
      <c r="K3" s="45"/>
      <c r="L3" s="40" t="s">
        <v>5</v>
      </c>
      <c r="M3" s="40"/>
      <c r="N3" s="40"/>
      <c r="O3" s="40"/>
      <c r="P3" s="40"/>
      <c r="Q3" s="40"/>
      <c r="R3" s="40"/>
      <c r="S3" s="3">
        <v>44530</v>
      </c>
    </row>
    <row r="4" spans="1:19" s="1" customFormat="1" ht="15.75" customHeight="1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" t="s">
        <v>1</v>
      </c>
    </row>
    <row r="5" spans="1:19" s="1" customFormat="1" ht="15" customHeight="1">
      <c r="A5" s="35" t="s">
        <v>6</v>
      </c>
      <c r="B5" s="35"/>
      <c r="C5" s="35"/>
      <c r="D5" s="35"/>
      <c r="E5" s="35"/>
      <c r="F5" s="35"/>
      <c r="G5" s="39" t="s">
        <v>7</v>
      </c>
      <c r="H5" s="39"/>
      <c r="I5" s="39"/>
      <c r="J5" s="39"/>
      <c r="K5" s="39"/>
      <c r="L5" s="39"/>
      <c r="M5" s="39"/>
      <c r="N5" s="39"/>
      <c r="O5" s="39"/>
      <c r="P5" s="39"/>
      <c r="Q5" s="40" t="s">
        <v>8</v>
      </c>
      <c r="R5" s="40"/>
      <c r="S5" s="5" t="s">
        <v>1</v>
      </c>
    </row>
    <row r="6" spans="1:19" s="1" customFormat="1" ht="15" customHeight="1">
      <c r="A6" s="35" t="s">
        <v>9</v>
      </c>
      <c r="B6" s="35"/>
      <c r="C6" s="35"/>
      <c r="D6" s="35"/>
      <c r="E6" s="35"/>
      <c r="F6" s="35"/>
      <c r="G6" s="35"/>
      <c r="H6" s="39" t="s">
        <v>1</v>
      </c>
      <c r="I6" s="39"/>
      <c r="J6" s="39"/>
      <c r="K6" s="39"/>
      <c r="L6" s="39"/>
      <c r="M6" s="39"/>
      <c r="N6" s="39"/>
      <c r="O6" s="39"/>
      <c r="P6" s="39"/>
      <c r="Q6" s="40" t="s">
        <v>10</v>
      </c>
      <c r="R6" s="40"/>
      <c r="S6" s="5" t="s">
        <v>1</v>
      </c>
    </row>
    <row r="7" spans="1:19" s="1" customFormat="1" ht="15" customHeight="1">
      <c r="A7" s="35" t="s">
        <v>11</v>
      </c>
      <c r="B7" s="35"/>
      <c r="C7" s="35"/>
      <c r="D7" s="39" t="s">
        <v>12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 t="s">
        <v>1</v>
      </c>
      <c r="R7" s="40"/>
      <c r="S7" s="5" t="s">
        <v>1</v>
      </c>
    </row>
    <row r="8" spans="1:19" s="1" customFormat="1" ht="13.5" customHeight="1">
      <c r="A8" s="35" t="s">
        <v>13</v>
      </c>
      <c r="B8" s="35"/>
      <c r="C8" s="35"/>
      <c r="D8" s="35"/>
      <c r="E8" s="41" t="s">
        <v>1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0" t="s">
        <v>14</v>
      </c>
      <c r="R8" s="40"/>
      <c r="S8" s="6" t="s">
        <v>15</v>
      </c>
    </row>
    <row r="9" spans="1:19" s="1" customFormat="1" ht="13.5" customHeight="1">
      <c r="A9" s="35" t="s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1" customFormat="1" ht="13.5" customHeight="1">
      <c r="A10" s="7" t="s">
        <v>16</v>
      </c>
      <c r="B10" s="35" t="s">
        <v>17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spans="1:19" s="1" customFormat="1" ht="13.5" customHeight="1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r="12" spans="1:19" s="1" customFormat="1" ht="13.5" customHeight="1">
      <c r="A12" s="36" t="s">
        <v>18</v>
      </c>
      <c r="B12" s="36"/>
      <c r="C12" s="36"/>
      <c r="D12" s="36"/>
      <c r="E12" s="36"/>
      <c r="F12" s="37" t="s">
        <v>19</v>
      </c>
      <c r="G12" s="37"/>
      <c r="H12" s="37"/>
      <c r="I12" s="36" t="s">
        <v>20</v>
      </c>
      <c r="J12" s="36"/>
      <c r="K12" s="36"/>
      <c r="L12" s="36"/>
      <c r="M12" s="36" t="s">
        <v>23</v>
      </c>
      <c r="N12" s="36" t="s">
        <v>24</v>
      </c>
      <c r="O12" s="36"/>
      <c r="P12" s="29" t="s">
        <v>27</v>
      </c>
      <c r="Q12" s="29"/>
      <c r="R12" s="29"/>
      <c r="S12" s="29"/>
    </row>
    <row r="13" spans="1:19" s="1" customFormat="1" ht="33.75" customHeight="1">
      <c r="A13" s="36"/>
      <c r="B13" s="36"/>
      <c r="C13" s="36"/>
      <c r="D13" s="36"/>
      <c r="E13" s="36"/>
      <c r="F13" s="37"/>
      <c r="G13" s="37"/>
      <c r="H13" s="37"/>
      <c r="I13" s="30" t="s">
        <v>21</v>
      </c>
      <c r="J13" s="30"/>
      <c r="K13" s="38" t="s">
        <v>22</v>
      </c>
      <c r="L13" s="38"/>
      <c r="M13" s="36"/>
      <c r="N13" s="8" t="s">
        <v>25</v>
      </c>
      <c r="O13" s="9" t="s">
        <v>26</v>
      </c>
      <c r="P13" s="30" t="s">
        <v>25</v>
      </c>
      <c r="Q13" s="30"/>
      <c r="R13" s="31" t="s">
        <v>26</v>
      </c>
      <c r="S13" s="31"/>
    </row>
    <row r="14" spans="1:19" s="1" customFormat="1" ht="12.75" customHeight="1">
      <c r="A14" s="32" t="s">
        <v>28</v>
      </c>
      <c r="B14" s="32"/>
      <c r="C14" s="32"/>
      <c r="D14" s="32"/>
      <c r="E14" s="32"/>
      <c r="F14" s="33" t="s">
        <v>29</v>
      </c>
      <c r="G14" s="33"/>
      <c r="H14" s="33"/>
      <c r="I14" s="32" t="s">
        <v>30</v>
      </c>
      <c r="J14" s="32"/>
      <c r="K14" s="33" t="s">
        <v>31</v>
      </c>
      <c r="L14" s="33"/>
      <c r="M14" s="10" t="s">
        <v>32</v>
      </c>
      <c r="N14" s="10" t="s">
        <v>33</v>
      </c>
      <c r="O14" s="11" t="s">
        <v>34</v>
      </c>
      <c r="P14" s="32" t="s">
        <v>35</v>
      </c>
      <c r="Q14" s="32"/>
      <c r="R14" s="34" t="s">
        <v>36</v>
      </c>
      <c r="S14" s="34"/>
    </row>
    <row r="15" spans="1:19" s="1" customFormat="1" ht="24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162019116.87</f>
        <v>162019116.87</v>
      </c>
      <c r="J15" s="24"/>
      <c r="K15" s="25">
        <f>162019116.87</f>
        <v>162019116.87</v>
      </c>
      <c r="L15" s="25"/>
      <c r="M15" s="12">
        <f>132878994.88</f>
        <v>132878994.88</v>
      </c>
      <c r="N15" s="13" t="s">
        <v>39</v>
      </c>
      <c r="O15" s="14" t="s">
        <v>39</v>
      </c>
      <c r="P15" s="24">
        <f>29140121.99</f>
        <v>29140121.99</v>
      </c>
      <c r="Q15" s="24"/>
      <c r="R15" s="26">
        <f>29140121.99</f>
        <v>29140121.99</v>
      </c>
      <c r="S15" s="26"/>
    </row>
    <row r="16" spans="1:19" s="1" customFormat="1" ht="33.7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2102957.75</f>
        <v>2102957.75</v>
      </c>
      <c r="J16" s="24"/>
      <c r="K16" s="25">
        <f>2102957.75</f>
        <v>2102957.75</v>
      </c>
      <c r="L16" s="25"/>
      <c r="M16" s="12">
        <f>1846697.15</f>
        <v>1846697.15</v>
      </c>
      <c r="N16" s="13" t="s">
        <v>42</v>
      </c>
      <c r="O16" s="14" t="s">
        <v>42</v>
      </c>
      <c r="P16" s="24">
        <f>256260.6</f>
        <v>256260.6</v>
      </c>
      <c r="Q16" s="24"/>
      <c r="R16" s="26">
        <f>256260.6</f>
        <v>256260.6</v>
      </c>
      <c r="S16" s="26"/>
    </row>
    <row r="17" spans="1:19" s="1" customFormat="1" ht="13.5" customHeight="1">
      <c r="A17" s="22" t="s">
        <v>43</v>
      </c>
      <c r="B17" s="22"/>
      <c r="C17" s="22"/>
      <c r="D17" s="22"/>
      <c r="E17" s="22"/>
      <c r="F17" s="23" t="s">
        <v>44</v>
      </c>
      <c r="G17" s="23"/>
      <c r="H17" s="23"/>
      <c r="I17" s="24">
        <f>2088000</f>
        <v>2088000</v>
      </c>
      <c r="J17" s="24"/>
      <c r="K17" s="25">
        <f>2088000</f>
        <v>2088000</v>
      </c>
      <c r="L17" s="25"/>
      <c r="M17" s="12">
        <f>1831739.4</f>
        <v>1831739.4</v>
      </c>
      <c r="N17" s="13" t="s">
        <v>45</v>
      </c>
      <c r="O17" s="14" t="s">
        <v>45</v>
      </c>
      <c r="P17" s="24">
        <f>256260.6</f>
        <v>256260.6</v>
      </c>
      <c r="Q17" s="24"/>
      <c r="R17" s="26">
        <f>256260.6</f>
        <v>256260.6</v>
      </c>
      <c r="S17" s="26"/>
    </row>
    <row r="18" spans="1:19" s="1" customFormat="1" ht="13.5" customHeight="1">
      <c r="A18" s="22" t="s">
        <v>46</v>
      </c>
      <c r="B18" s="22"/>
      <c r="C18" s="22"/>
      <c r="D18" s="22"/>
      <c r="E18" s="22"/>
      <c r="F18" s="23" t="s">
        <v>47</v>
      </c>
      <c r="G18" s="23"/>
      <c r="H18" s="23"/>
      <c r="I18" s="24">
        <f>1634300</f>
        <v>1634300</v>
      </c>
      <c r="J18" s="24"/>
      <c r="K18" s="25">
        <f>1634300</f>
        <v>1634300</v>
      </c>
      <c r="L18" s="25"/>
      <c r="M18" s="12">
        <f>1423217.5</f>
        <v>1423217.5</v>
      </c>
      <c r="N18" s="13" t="s">
        <v>48</v>
      </c>
      <c r="O18" s="14" t="s">
        <v>48</v>
      </c>
      <c r="P18" s="24">
        <f>211082.5</f>
        <v>211082.5</v>
      </c>
      <c r="Q18" s="24"/>
      <c r="R18" s="26">
        <f>211082.5</f>
        <v>211082.5</v>
      </c>
      <c r="S18" s="26"/>
    </row>
    <row r="19" spans="1:19" s="1" customFormat="1" ht="45" customHeight="1">
      <c r="A19" s="22" t="s">
        <v>49</v>
      </c>
      <c r="B19" s="22"/>
      <c r="C19" s="22"/>
      <c r="D19" s="22"/>
      <c r="E19" s="22"/>
      <c r="F19" s="23" t="s">
        <v>50</v>
      </c>
      <c r="G19" s="23"/>
      <c r="H19" s="23"/>
      <c r="I19" s="24">
        <f>453700</f>
        <v>453700</v>
      </c>
      <c r="J19" s="24"/>
      <c r="K19" s="25">
        <f>453700</f>
        <v>453700</v>
      </c>
      <c r="L19" s="25"/>
      <c r="M19" s="12">
        <f>408521.9</f>
        <v>408521.9</v>
      </c>
      <c r="N19" s="13" t="s">
        <v>51</v>
      </c>
      <c r="O19" s="14" t="s">
        <v>51</v>
      </c>
      <c r="P19" s="24">
        <f>45178.1</f>
        <v>45178.1</v>
      </c>
      <c r="Q19" s="24"/>
      <c r="R19" s="26">
        <f>45178.1</f>
        <v>45178.1</v>
      </c>
      <c r="S19" s="26"/>
    </row>
    <row r="20" spans="1:19" s="1" customFormat="1" ht="54.75" customHeight="1">
      <c r="A20" s="22" t="s">
        <v>52</v>
      </c>
      <c r="B20" s="22"/>
      <c r="C20" s="22"/>
      <c r="D20" s="22"/>
      <c r="E20" s="22"/>
      <c r="F20" s="23" t="s">
        <v>53</v>
      </c>
      <c r="G20" s="23"/>
      <c r="H20" s="23"/>
      <c r="I20" s="24">
        <f>14957.75</f>
        <v>14957.75</v>
      </c>
      <c r="J20" s="24"/>
      <c r="K20" s="25">
        <f>14957.75</f>
        <v>14957.75</v>
      </c>
      <c r="L20" s="25"/>
      <c r="M20" s="12">
        <f>14957.75</f>
        <v>14957.75</v>
      </c>
      <c r="N20" s="13" t="s">
        <v>54</v>
      </c>
      <c r="O20" s="14" t="s">
        <v>54</v>
      </c>
      <c r="P20" s="27" t="s">
        <v>1</v>
      </c>
      <c r="Q20" s="27"/>
      <c r="R20" s="28" t="s">
        <v>1</v>
      </c>
      <c r="S20" s="28"/>
    </row>
    <row r="21" spans="1:19" s="1" customFormat="1" ht="13.5" customHeight="1">
      <c r="A21" s="22" t="s">
        <v>55</v>
      </c>
      <c r="B21" s="22"/>
      <c r="C21" s="22"/>
      <c r="D21" s="22"/>
      <c r="E21" s="22"/>
      <c r="F21" s="23" t="s">
        <v>47</v>
      </c>
      <c r="G21" s="23"/>
      <c r="H21" s="23"/>
      <c r="I21" s="24">
        <f>11750</f>
        <v>11750</v>
      </c>
      <c r="J21" s="24"/>
      <c r="K21" s="25">
        <f>11750</f>
        <v>11750</v>
      </c>
      <c r="L21" s="25"/>
      <c r="M21" s="12">
        <f>11750</f>
        <v>11750</v>
      </c>
      <c r="N21" s="13" t="s">
        <v>54</v>
      </c>
      <c r="O21" s="14" t="s">
        <v>54</v>
      </c>
      <c r="P21" s="27" t="s">
        <v>1</v>
      </c>
      <c r="Q21" s="27"/>
      <c r="R21" s="28" t="s">
        <v>1</v>
      </c>
      <c r="S21" s="28"/>
    </row>
    <row r="22" spans="1:19" s="1" customFormat="1" ht="45" customHeight="1">
      <c r="A22" s="22" t="s">
        <v>56</v>
      </c>
      <c r="B22" s="22"/>
      <c r="C22" s="22"/>
      <c r="D22" s="22"/>
      <c r="E22" s="22"/>
      <c r="F22" s="23" t="s">
        <v>50</v>
      </c>
      <c r="G22" s="23"/>
      <c r="H22" s="23"/>
      <c r="I22" s="24">
        <f>3207.75</f>
        <v>3207.75</v>
      </c>
      <c r="J22" s="24"/>
      <c r="K22" s="25">
        <f>3207.75</f>
        <v>3207.75</v>
      </c>
      <c r="L22" s="25"/>
      <c r="M22" s="12">
        <f>3207.75</f>
        <v>3207.75</v>
      </c>
      <c r="N22" s="13" t="s">
        <v>54</v>
      </c>
      <c r="O22" s="14" t="s">
        <v>54</v>
      </c>
      <c r="P22" s="27" t="s">
        <v>1</v>
      </c>
      <c r="Q22" s="27"/>
      <c r="R22" s="28" t="s">
        <v>1</v>
      </c>
      <c r="S22" s="28"/>
    </row>
    <row r="23" spans="1:19" s="1" customFormat="1" ht="45" customHeight="1">
      <c r="A23" s="22" t="s">
        <v>57</v>
      </c>
      <c r="B23" s="22"/>
      <c r="C23" s="22"/>
      <c r="D23" s="22"/>
      <c r="E23" s="22"/>
      <c r="F23" s="23" t="s">
        <v>58</v>
      </c>
      <c r="G23" s="23"/>
      <c r="H23" s="23"/>
      <c r="I23" s="24">
        <f>24599742.25</f>
        <v>24599742.25</v>
      </c>
      <c r="J23" s="24"/>
      <c r="K23" s="25">
        <f>24599742.25</f>
        <v>24599742.25</v>
      </c>
      <c r="L23" s="25"/>
      <c r="M23" s="12">
        <f>20696881.83</f>
        <v>20696881.83</v>
      </c>
      <c r="N23" s="13" t="s">
        <v>59</v>
      </c>
      <c r="O23" s="14" t="s">
        <v>59</v>
      </c>
      <c r="P23" s="24">
        <f>3902860.42</f>
        <v>3902860.42</v>
      </c>
      <c r="Q23" s="24"/>
      <c r="R23" s="26">
        <f>3902860.42</f>
        <v>3902860.42</v>
      </c>
      <c r="S23" s="26"/>
    </row>
    <row r="24" spans="1:19" s="1" customFormat="1" ht="24" customHeight="1">
      <c r="A24" s="22" t="s">
        <v>60</v>
      </c>
      <c r="B24" s="22"/>
      <c r="C24" s="22"/>
      <c r="D24" s="22"/>
      <c r="E24" s="22"/>
      <c r="F24" s="23" t="s">
        <v>61</v>
      </c>
      <c r="G24" s="23"/>
      <c r="H24" s="23"/>
      <c r="I24" s="24">
        <f>17343792.59</f>
        <v>17343792.59</v>
      </c>
      <c r="J24" s="24"/>
      <c r="K24" s="25">
        <f>17343792.59</f>
        <v>17343792.59</v>
      </c>
      <c r="L24" s="25"/>
      <c r="M24" s="12">
        <f>14940567.49</f>
        <v>14940567.49</v>
      </c>
      <c r="N24" s="13" t="s">
        <v>62</v>
      </c>
      <c r="O24" s="14" t="s">
        <v>62</v>
      </c>
      <c r="P24" s="24">
        <f>2403225.1</f>
        <v>2403225.1</v>
      </c>
      <c r="Q24" s="24"/>
      <c r="R24" s="26">
        <f>2403225.1</f>
        <v>2403225.1</v>
      </c>
      <c r="S24" s="26"/>
    </row>
    <row r="25" spans="1:19" s="1" customFormat="1" ht="13.5" customHeight="1">
      <c r="A25" s="22" t="s">
        <v>63</v>
      </c>
      <c r="B25" s="22"/>
      <c r="C25" s="22"/>
      <c r="D25" s="22"/>
      <c r="E25" s="22"/>
      <c r="F25" s="23" t="s">
        <v>47</v>
      </c>
      <c r="G25" s="23"/>
      <c r="H25" s="23"/>
      <c r="I25" s="24">
        <f>13387592.59</f>
        <v>13387592.59</v>
      </c>
      <c r="J25" s="24"/>
      <c r="K25" s="25">
        <f>13387592.59</f>
        <v>13387592.59</v>
      </c>
      <c r="L25" s="25"/>
      <c r="M25" s="12">
        <f>11671160.98</f>
        <v>11671160.98</v>
      </c>
      <c r="N25" s="13" t="s">
        <v>64</v>
      </c>
      <c r="O25" s="14" t="s">
        <v>64</v>
      </c>
      <c r="P25" s="24">
        <f>1716431.61</f>
        <v>1716431.61</v>
      </c>
      <c r="Q25" s="24"/>
      <c r="R25" s="26">
        <f>1716431.61</f>
        <v>1716431.61</v>
      </c>
      <c r="S25" s="26"/>
    </row>
    <row r="26" spans="1:19" s="1" customFormat="1" ht="45" customHeight="1">
      <c r="A26" s="22" t="s">
        <v>65</v>
      </c>
      <c r="B26" s="22"/>
      <c r="C26" s="22"/>
      <c r="D26" s="22"/>
      <c r="E26" s="22"/>
      <c r="F26" s="23" t="s">
        <v>50</v>
      </c>
      <c r="G26" s="23"/>
      <c r="H26" s="23"/>
      <c r="I26" s="24">
        <f>3956200</f>
        <v>3956200</v>
      </c>
      <c r="J26" s="24"/>
      <c r="K26" s="25">
        <f>3956200</f>
        <v>3956200</v>
      </c>
      <c r="L26" s="25"/>
      <c r="M26" s="12">
        <f>3269406.51</f>
        <v>3269406.51</v>
      </c>
      <c r="N26" s="13" t="s">
        <v>66</v>
      </c>
      <c r="O26" s="14" t="s">
        <v>66</v>
      </c>
      <c r="P26" s="24">
        <f>686793.49</f>
        <v>686793.49</v>
      </c>
      <c r="Q26" s="24"/>
      <c r="R26" s="26">
        <f>686793.49</f>
        <v>686793.49</v>
      </c>
      <c r="S26" s="26"/>
    </row>
    <row r="27" spans="1:19" s="1" customFormat="1" ht="24" customHeight="1">
      <c r="A27" s="22" t="s">
        <v>67</v>
      </c>
      <c r="B27" s="22"/>
      <c r="C27" s="22"/>
      <c r="D27" s="22"/>
      <c r="E27" s="22"/>
      <c r="F27" s="23" t="s">
        <v>68</v>
      </c>
      <c r="G27" s="23"/>
      <c r="H27" s="23"/>
      <c r="I27" s="24">
        <f>6075907.41</f>
        <v>6075907.41</v>
      </c>
      <c r="J27" s="24"/>
      <c r="K27" s="25">
        <f>6075907.41</f>
        <v>6075907.41</v>
      </c>
      <c r="L27" s="25"/>
      <c r="M27" s="12">
        <f>4900734.13</f>
        <v>4900734.13</v>
      </c>
      <c r="N27" s="13" t="s">
        <v>69</v>
      </c>
      <c r="O27" s="14" t="s">
        <v>69</v>
      </c>
      <c r="P27" s="24">
        <f>1175173.28</f>
        <v>1175173.28</v>
      </c>
      <c r="Q27" s="24"/>
      <c r="R27" s="26">
        <f>1175173.28</f>
        <v>1175173.28</v>
      </c>
      <c r="S27" s="26"/>
    </row>
    <row r="28" spans="1:19" s="1" customFormat="1" ht="13.5" customHeight="1">
      <c r="A28" s="22" t="s">
        <v>70</v>
      </c>
      <c r="B28" s="22"/>
      <c r="C28" s="22"/>
      <c r="D28" s="22"/>
      <c r="E28" s="22"/>
      <c r="F28" s="23" t="s">
        <v>47</v>
      </c>
      <c r="G28" s="23"/>
      <c r="H28" s="23"/>
      <c r="I28" s="24">
        <f>4612407.41</f>
        <v>4612407.41</v>
      </c>
      <c r="J28" s="24"/>
      <c r="K28" s="25">
        <f>4612407.41</f>
        <v>4612407.41</v>
      </c>
      <c r="L28" s="25"/>
      <c r="M28" s="12">
        <f>3854923.63</f>
        <v>3854923.63</v>
      </c>
      <c r="N28" s="13" t="s">
        <v>71</v>
      </c>
      <c r="O28" s="14" t="s">
        <v>71</v>
      </c>
      <c r="P28" s="24">
        <f>757483.78</f>
        <v>757483.78</v>
      </c>
      <c r="Q28" s="24"/>
      <c r="R28" s="26">
        <f>757483.78</f>
        <v>757483.78</v>
      </c>
      <c r="S28" s="26"/>
    </row>
    <row r="29" spans="1:19" s="1" customFormat="1" ht="45" customHeight="1">
      <c r="A29" s="22" t="s">
        <v>72</v>
      </c>
      <c r="B29" s="22"/>
      <c r="C29" s="22"/>
      <c r="D29" s="22"/>
      <c r="E29" s="22"/>
      <c r="F29" s="23" t="s">
        <v>50</v>
      </c>
      <c r="G29" s="23"/>
      <c r="H29" s="23"/>
      <c r="I29" s="24">
        <f>1463500</f>
        <v>1463500</v>
      </c>
      <c r="J29" s="24"/>
      <c r="K29" s="25">
        <f>1463500</f>
        <v>1463500</v>
      </c>
      <c r="L29" s="25"/>
      <c r="M29" s="12">
        <f>1045810.5</f>
        <v>1045810.5</v>
      </c>
      <c r="N29" s="13" t="s">
        <v>73</v>
      </c>
      <c r="O29" s="14" t="s">
        <v>73</v>
      </c>
      <c r="P29" s="24">
        <f>417689.5</f>
        <v>417689.5</v>
      </c>
      <c r="Q29" s="24"/>
      <c r="R29" s="26">
        <f>417689.5</f>
        <v>417689.5</v>
      </c>
      <c r="S29" s="26"/>
    </row>
    <row r="30" spans="1:19" s="1" customFormat="1" ht="24" customHeight="1">
      <c r="A30" s="22" t="s">
        <v>74</v>
      </c>
      <c r="B30" s="22"/>
      <c r="C30" s="22"/>
      <c r="D30" s="22"/>
      <c r="E30" s="22"/>
      <c r="F30" s="23" t="s">
        <v>75</v>
      </c>
      <c r="G30" s="23"/>
      <c r="H30" s="23"/>
      <c r="I30" s="24">
        <f>844000</f>
        <v>844000</v>
      </c>
      <c r="J30" s="24"/>
      <c r="K30" s="25">
        <f>844000</f>
        <v>844000</v>
      </c>
      <c r="L30" s="25"/>
      <c r="M30" s="12">
        <f>519537.96</f>
        <v>519537.96</v>
      </c>
      <c r="N30" s="13" t="s">
        <v>76</v>
      </c>
      <c r="O30" s="14" t="s">
        <v>76</v>
      </c>
      <c r="P30" s="24">
        <f>324462.04</f>
        <v>324462.04</v>
      </c>
      <c r="Q30" s="24"/>
      <c r="R30" s="26">
        <f>324462.04</f>
        <v>324462.04</v>
      </c>
      <c r="S30" s="26"/>
    </row>
    <row r="31" spans="1:19" s="1" customFormat="1" ht="24" customHeight="1">
      <c r="A31" s="22" t="s">
        <v>77</v>
      </c>
      <c r="B31" s="22"/>
      <c r="C31" s="22"/>
      <c r="D31" s="22"/>
      <c r="E31" s="22"/>
      <c r="F31" s="23" t="s">
        <v>78</v>
      </c>
      <c r="G31" s="23"/>
      <c r="H31" s="23"/>
      <c r="I31" s="24">
        <f>844000</f>
        <v>844000</v>
      </c>
      <c r="J31" s="24"/>
      <c r="K31" s="25">
        <f>844000</f>
        <v>844000</v>
      </c>
      <c r="L31" s="25"/>
      <c r="M31" s="12">
        <f>519537.96</f>
        <v>519537.96</v>
      </c>
      <c r="N31" s="13" t="s">
        <v>76</v>
      </c>
      <c r="O31" s="14" t="s">
        <v>76</v>
      </c>
      <c r="P31" s="24">
        <f>324462.04</f>
        <v>324462.04</v>
      </c>
      <c r="Q31" s="24"/>
      <c r="R31" s="26">
        <f>324462.04</f>
        <v>324462.04</v>
      </c>
      <c r="S31" s="26"/>
    </row>
    <row r="32" spans="1:19" s="1" customFormat="1" ht="54.75" customHeight="1">
      <c r="A32" s="22" t="s">
        <v>79</v>
      </c>
      <c r="B32" s="22"/>
      <c r="C32" s="22"/>
      <c r="D32" s="22"/>
      <c r="E32" s="22"/>
      <c r="F32" s="23" t="s">
        <v>80</v>
      </c>
      <c r="G32" s="23"/>
      <c r="H32" s="23"/>
      <c r="I32" s="24">
        <f>228952.75</f>
        <v>228952.75</v>
      </c>
      <c r="J32" s="24"/>
      <c r="K32" s="25">
        <f>228952.75</f>
        <v>228952.75</v>
      </c>
      <c r="L32" s="25"/>
      <c r="M32" s="12">
        <f>228952.75</f>
        <v>228952.75</v>
      </c>
      <c r="N32" s="13" t="s">
        <v>54</v>
      </c>
      <c r="O32" s="14" t="s">
        <v>54</v>
      </c>
      <c r="P32" s="27" t="s">
        <v>1</v>
      </c>
      <c r="Q32" s="27"/>
      <c r="R32" s="28" t="s">
        <v>1</v>
      </c>
      <c r="S32" s="28"/>
    </row>
    <row r="33" spans="1:19" s="1" customFormat="1" ht="13.5" customHeight="1">
      <c r="A33" s="22" t="s">
        <v>81</v>
      </c>
      <c r="B33" s="22"/>
      <c r="C33" s="22"/>
      <c r="D33" s="22"/>
      <c r="E33" s="22"/>
      <c r="F33" s="23" t="s">
        <v>47</v>
      </c>
      <c r="G33" s="23"/>
      <c r="H33" s="23"/>
      <c r="I33" s="24">
        <f>176250</f>
        <v>176250</v>
      </c>
      <c r="J33" s="24"/>
      <c r="K33" s="25">
        <f>176250</f>
        <v>176250</v>
      </c>
      <c r="L33" s="25"/>
      <c r="M33" s="12">
        <f>176250</f>
        <v>176250</v>
      </c>
      <c r="N33" s="13" t="s">
        <v>54</v>
      </c>
      <c r="O33" s="14" t="s">
        <v>54</v>
      </c>
      <c r="P33" s="27" t="s">
        <v>1</v>
      </c>
      <c r="Q33" s="27"/>
      <c r="R33" s="28" t="s">
        <v>1</v>
      </c>
      <c r="S33" s="28"/>
    </row>
    <row r="34" spans="1:19" s="1" customFormat="1" ht="45" customHeight="1">
      <c r="A34" s="22" t="s">
        <v>82</v>
      </c>
      <c r="B34" s="22"/>
      <c r="C34" s="22"/>
      <c r="D34" s="22"/>
      <c r="E34" s="22"/>
      <c r="F34" s="23" t="s">
        <v>50</v>
      </c>
      <c r="G34" s="23"/>
      <c r="H34" s="23"/>
      <c r="I34" s="24">
        <f>52702.75</f>
        <v>52702.75</v>
      </c>
      <c r="J34" s="24"/>
      <c r="K34" s="25">
        <f>52702.75</f>
        <v>52702.75</v>
      </c>
      <c r="L34" s="25"/>
      <c r="M34" s="12">
        <f>52702.75</f>
        <v>52702.75</v>
      </c>
      <c r="N34" s="13" t="s">
        <v>54</v>
      </c>
      <c r="O34" s="14" t="s">
        <v>54</v>
      </c>
      <c r="P34" s="27" t="s">
        <v>1</v>
      </c>
      <c r="Q34" s="27"/>
      <c r="R34" s="28" t="s">
        <v>1</v>
      </c>
      <c r="S34" s="28"/>
    </row>
    <row r="35" spans="1:19" s="1" customFormat="1" ht="66" customHeight="1">
      <c r="A35" s="22" t="s">
        <v>83</v>
      </c>
      <c r="B35" s="22"/>
      <c r="C35" s="22"/>
      <c r="D35" s="22"/>
      <c r="E35" s="22"/>
      <c r="F35" s="23" t="s">
        <v>84</v>
      </c>
      <c r="G35" s="23"/>
      <c r="H35" s="23"/>
      <c r="I35" s="24">
        <f>107089.5</f>
        <v>107089.5</v>
      </c>
      <c r="J35" s="24"/>
      <c r="K35" s="25">
        <f>107089.5</f>
        <v>107089.5</v>
      </c>
      <c r="L35" s="25"/>
      <c r="M35" s="12">
        <f>107089.5</f>
        <v>107089.5</v>
      </c>
      <c r="N35" s="13" t="s">
        <v>54</v>
      </c>
      <c r="O35" s="14" t="s">
        <v>54</v>
      </c>
      <c r="P35" s="27" t="s">
        <v>1</v>
      </c>
      <c r="Q35" s="27"/>
      <c r="R35" s="28" t="s">
        <v>1</v>
      </c>
      <c r="S35" s="28"/>
    </row>
    <row r="36" spans="1:19" s="1" customFormat="1" ht="13.5" customHeight="1">
      <c r="A36" s="22" t="s">
        <v>85</v>
      </c>
      <c r="B36" s="22"/>
      <c r="C36" s="22"/>
      <c r="D36" s="22"/>
      <c r="E36" s="22"/>
      <c r="F36" s="23" t="s">
        <v>47</v>
      </c>
      <c r="G36" s="23"/>
      <c r="H36" s="23"/>
      <c r="I36" s="24">
        <f>82250</f>
        <v>82250</v>
      </c>
      <c r="J36" s="24"/>
      <c r="K36" s="25">
        <f>82250</f>
        <v>82250</v>
      </c>
      <c r="L36" s="25"/>
      <c r="M36" s="12">
        <f>82250</f>
        <v>82250</v>
      </c>
      <c r="N36" s="13" t="s">
        <v>54</v>
      </c>
      <c r="O36" s="14" t="s">
        <v>54</v>
      </c>
      <c r="P36" s="27" t="s">
        <v>1</v>
      </c>
      <c r="Q36" s="27"/>
      <c r="R36" s="28" t="s">
        <v>1</v>
      </c>
      <c r="S36" s="28"/>
    </row>
    <row r="37" spans="1:19" s="1" customFormat="1" ht="45" customHeight="1">
      <c r="A37" s="22" t="s">
        <v>86</v>
      </c>
      <c r="B37" s="22"/>
      <c r="C37" s="22"/>
      <c r="D37" s="22"/>
      <c r="E37" s="22"/>
      <c r="F37" s="23" t="s">
        <v>50</v>
      </c>
      <c r="G37" s="23"/>
      <c r="H37" s="23"/>
      <c r="I37" s="24">
        <f>24839.5</f>
        <v>24839.5</v>
      </c>
      <c r="J37" s="24"/>
      <c r="K37" s="25">
        <f>24839.5</f>
        <v>24839.5</v>
      </c>
      <c r="L37" s="25"/>
      <c r="M37" s="12">
        <f>24839.5</f>
        <v>24839.5</v>
      </c>
      <c r="N37" s="13" t="s">
        <v>54</v>
      </c>
      <c r="O37" s="14" t="s">
        <v>54</v>
      </c>
      <c r="P37" s="27" t="s">
        <v>1</v>
      </c>
      <c r="Q37" s="27"/>
      <c r="R37" s="28" t="s">
        <v>1</v>
      </c>
      <c r="S37" s="28"/>
    </row>
    <row r="38" spans="1:19" s="1" customFormat="1" ht="33.75" customHeight="1">
      <c r="A38" s="22" t="s">
        <v>87</v>
      </c>
      <c r="B38" s="22"/>
      <c r="C38" s="22"/>
      <c r="D38" s="22"/>
      <c r="E38" s="22"/>
      <c r="F38" s="23" t="s">
        <v>88</v>
      </c>
      <c r="G38" s="23"/>
      <c r="H38" s="23"/>
      <c r="I38" s="24">
        <f>52481</f>
        <v>52481</v>
      </c>
      <c r="J38" s="24"/>
      <c r="K38" s="25">
        <f>52481</f>
        <v>52481</v>
      </c>
      <c r="L38" s="25"/>
      <c r="M38" s="12">
        <f>52481</f>
        <v>52481</v>
      </c>
      <c r="N38" s="13" t="s">
        <v>54</v>
      </c>
      <c r="O38" s="14" t="s">
        <v>54</v>
      </c>
      <c r="P38" s="27" t="s">
        <v>1</v>
      </c>
      <c r="Q38" s="27"/>
      <c r="R38" s="28" t="s">
        <v>1</v>
      </c>
      <c r="S38" s="28"/>
    </row>
    <row r="39" spans="1:19" s="1" customFormat="1" ht="66" customHeight="1">
      <c r="A39" s="22" t="s">
        <v>89</v>
      </c>
      <c r="B39" s="22"/>
      <c r="C39" s="22"/>
      <c r="D39" s="22"/>
      <c r="E39" s="22"/>
      <c r="F39" s="23" t="s">
        <v>90</v>
      </c>
      <c r="G39" s="23"/>
      <c r="H39" s="23"/>
      <c r="I39" s="24">
        <f>52481</f>
        <v>52481</v>
      </c>
      <c r="J39" s="24"/>
      <c r="K39" s="25">
        <f>52481</f>
        <v>52481</v>
      </c>
      <c r="L39" s="25"/>
      <c r="M39" s="12">
        <f>52481</f>
        <v>52481</v>
      </c>
      <c r="N39" s="13" t="s">
        <v>54</v>
      </c>
      <c r="O39" s="14" t="s">
        <v>54</v>
      </c>
      <c r="P39" s="27" t="s">
        <v>1</v>
      </c>
      <c r="Q39" s="27"/>
      <c r="R39" s="28" t="s">
        <v>1</v>
      </c>
      <c r="S39" s="28"/>
    </row>
    <row r="40" spans="1:19" s="1" customFormat="1" ht="13.5" customHeight="1">
      <c r="A40" s="22" t="s">
        <v>91</v>
      </c>
      <c r="B40" s="22"/>
      <c r="C40" s="22"/>
      <c r="D40" s="22"/>
      <c r="E40" s="22"/>
      <c r="F40" s="23" t="s">
        <v>92</v>
      </c>
      <c r="G40" s="23"/>
      <c r="H40" s="23"/>
      <c r="I40" s="24">
        <f>52481</f>
        <v>52481</v>
      </c>
      <c r="J40" s="24"/>
      <c r="K40" s="25">
        <f>52481</f>
        <v>52481</v>
      </c>
      <c r="L40" s="25"/>
      <c r="M40" s="12">
        <f>52481</f>
        <v>52481</v>
      </c>
      <c r="N40" s="13" t="s">
        <v>54</v>
      </c>
      <c r="O40" s="14" t="s">
        <v>54</v>
      </c>
      <c r="P40" s="27" t="s">
        <v>1</v>
      </c>
      <c r="Q40" s="27"/>
      <c r="R40" s="28" t="s">
        <v>1</v>
      </c>
      <c r="S40" s="28"/>
    </row>
    <row r="41" spans="1:19" s="1" customFormat="1" ht="13.5" customHeight="1">
      <c r="A41" s="22" t="s">
        <v>93</v>
      </c>
      <c r="B41" s="22"/>
      <c r="C41" s="22"/>
      <c r="D41" s="22"/>
      <c r="E41" s="22"/>
      <c r="F41" s="23" t="s">
        <v>94</v>
      </c>
      <c r="G41" s="23"/>
      <c r="H41" s="23"/>
      <c r="I41" s="24">
        <f>3698007.95</f>
        <v>3698007.95</v>
      </c>
      <c r="J41" s="24"/>
      <c r="K41" s="25">
        <f>3698007.95</f>
        <v>3698007.95</v>
      </c>
      <c r="L41" s="25"/>
      <c r="M41" s="12">
        <f>2341973.54</f>
        <v>2341973.54</v>
      </c>
      <c r="N41" s="13" t="s">
        <v>95</v>
      </c>
      <c r="O41" s="14" t="s">
        <v>95</v>
      </c>
      <c r="P41" s="24">
        <f>1356034.41</f>
        <v>1356034.41</v>
      </c>
      <c r="Q41" s="24"/>
      <c r="R41" s="26">
        <f>1356034.41</f>
        <v>1356034.41</v>
      </c>
      <c r="S41" s="26"/>
    </row>
    <row r="42" spans="1:19" s="1" customFormat="1" ht="13.5" customHeight="1">
      <c r="A42" s="22" t="s">
        <v>96</v>
      </c>
      <c r="B42" s="22"/>
      <c r="C42" s="22"/>
      <c r="D42" s="22"/>
      <c r="E42" s="22"/>
      <c r="F42" s="23" t="s">
        <v>97</v>
      </c>
      <c r="G42" s="23"/>
      <c r="H42" s="23"/>
      <c r="I42" s="24">
        <f>3278007.95</f>
        <v>3278007.95</v>
      </c>
      <c r="J42" s="24"/>
      <c r="K42" s="25">
        <f>3278007.95</f>
        <v>3278007.95</v>
      </c>
      <c r="L42" s="25"/>
      <c r="M42" s="12">
        <f>2244451.2</f>
        <v>2244451.2</v>
      </c>
      <c r="N42" s="13" t="s">
        <v>98</v>
      </c>
      <c r="O42" s="14" t="s">
        <v>98</v>
      </c>
      <c r="P42" s="24">
        <f>1033556.75</f>
        <v>1033556.75</v>
      </c>
      <c r="Q42" s="24"/>
      <c r="R42" s="26">
        <f>1033556.75</f>
        <v>1033556.75</v>
      </c>
      <c r="S42" s="26"/>
    </row>
    <row r="43" spans="1:19" s="1" customFormat="1" ht="24" customHeight="1">
      <c r="A43" s="22" t="s">
        <v>99</v>
      </c>
      <c r="B43" s="22"/>
      <c r="C43" s="22"/>
      <c r="D43" s="22"/>
      <c r="E43" s="22"/>
      <c r="F43" s="23" t="s">
        <v>100</v>
      </c>
      <c r="G43" s="23"/>
      <c r="H43" s="23"/>
      <c r="I43" s="24">
        <f>2486071.8</f>
        <v>2486071.8</v>
      </c>
      <c r="J43" s="24"/>
      <c r="K43" s="25">
        <f>2486071.8</f>
        <v>2486071.8</v>
      </c>
      <c r="L43" s="25"/>
      <c r="M43" s="12">
        <f>1717728.2</f>
        <v>1717728.2</v>
      </c>
      <c r="N43" s="13" t="s">
        <v>101</v>
      </c>
      <c r="O43" s="14" t="s">
        <v>101</v>
      </c>
      <c r="P43" s="24">
        <f>768343.6</f>
        <v>768343.6</v>
      </c>
      <c r="Q43" s="24"/>
      <c r="R43" s="26">
        <f>768343.6</f>
        <v>768343.6</v>
      </c>
      <c r="S43" s="26"/>
    </row>
    <row r="44" spans="1:19" s="1" customFormat="1" ht="13.5" customHeight="1">
      <c r="A44" s="22" t="s">
        <v>102</v>
      </c>
      <c r="B44" s="22"/>
      <c r="C44" s="22"/>
      <c r="D44" s="22"/>
      <c r="E44" s="22"/>
      <c r="F44" s="23" t="s">
        <v>103</v>
      </c>
      <c r="G44" s="23"/>
      <c r="H44" s="23"/>
      <c r="I44" s="24">
        <f>681936.15</f>
        <v>681936.15</v>
      </c>
      <c r="J44" s="24"/>
      <c r="K44" s="25">
        <f>681936.15</f>
        <v>681936.15</v>
      </c>
      <c r="L44" s="25"/>
      <c r="M44" s="12">
        <f>454132</f>
        <v>454132</v>
      </c>
      <c r="N44" s="13" t="s">
        <v>104</v>
      </c>
      <c r="O44" s="14" t="s">
        <v>104</v>
      </c>
      <c r="P44" s="24">
        <f>227804.15</f>
        <v>227804.15</v>
      </c>
      <c r="Q44" s="24"/>
      <c r="R44" s="26">
        <f>227804.15</f>
        <v>227804.15</v>
      </c>
      <c r="S44" s="26"/>
    </row>
    <row r="45" spans="1:19" s="1" customFormat="1" ht="24" customHeight="1">
      <c r="A45" s="22" t="s">
        <v>105</v>
      </c>
      <c r="B45" s="22"/>
      <c r="C45" s="22"/>
      <c r="D45" s="22"/>
      <c r="E45" s="22"/>
      <c r="F45" s="23" t="s">
        <v>106</v>
      </c>
      <c r="G45" s="23"/>
      <c r="H45" s="23"/>
      <c r="I45" s="24">
        <f>80000</f>
        <v>80000</v>
      </c>
      <c r="J45" s="24"/>
      <c r="K45" s="25">
        <f>80000</f>
        <v>80000</v>
      </c>
      <c r="L45" s="25"/>
      <c r="M45" s="12">
        <f>49371</f>
        <v>49371</v>
      </c>
      <c r="N45" s="13" t="s">
        <v>107</v>
      </c>
      <c r="O45" s="14" t="s">
        <v>107</v>
      </c>
      <c r="P45" s="24">
        <f>30629</f>
        <v>30629</v>
      </c>
      <c r="Q45" s="24"/>
      <c r="R45" s="26">
        <f>30629</f>
        <v>30629</v>
      </c>
      <c r="S45" s="26"/>
    </row>
    <row r="46" spans="1:19" s="1" customFormat="1" ht="13.5" customHeight="1">
      <c r="A46" s="22" t="s">
        <v>108</v>
      </c>
      <c r="B46" s="22"/>
      <c r="C46" s="22"/>
      <c r="D46" s="22"/>
      <c r="E46" s="22"/>
      <c r="F46" s="23" t="s">
        <v>109</v>
      </c>
      <c r="G46" s="23"/>
      <c r="H46" s="23"/>
      <c r="I46" s="24">
        <f>15000</f>
        <v>15000</v>
      </c>
      <c r="J46" s="24"/>
      <c r="K46" s="25">
        <f>15000</f>
        <v>15000</v>
      </c>
      <c r="L46" s="25"/>
      <c r="M46" s="12">
        <f>8220</f>
        <v>8220</v>
      </c>
      <c r="N46" s="13" t="s">
        <v>110</v>
      </c>
      <c r="O46" s="14" t="s">
        <v>110</v>
      </c>
      <c r="P46" s="24">
        <f>6780</f>
        <v>6780</v>
      </c>
      <c r="Q46" s="24"/>
      <c r="R46" s="26">
        <f>6780</f>
        <v>6780</v>
      </c>
      <c r="S46" s="26"/>
    </row>
    <row r="47" spans="1:19" s="1" customFormat="1" ht="13.5" customHeight="1">
      <c r="A47" s="22" t="s">
        <v>111</v>
      </c>
      <c r="B47" s="22"/>
      <c r="C47" s="22"/>
      <c r="D47" s="22"/>
      <c r="E47" s="22"/>
      <c r="F47" s="23" t="s">
        <v>112</v>
      </c>
      <c r="G47" s="23"/>
      <c r="H47" s="23"/>
      <c r="I47" s="24">
        <f>15000</f>
        <v>15000</v>
      </c>
      <c r="J47" s="24"/>
      <c r="K47" s="25">
        <f>15000</f>
        <v>15000</v>
      </c>
      <c r="L47" s="25"/>
      <c r="M47" s="12">
        <f>15000</f>
        <v>15000</v>
      </c>
      <c r="N47" s="13" t="s">
        <v>54</v>
      </c>
      <c r="O47" s="14" t="s">
        <v>54</v>
      </c>
      <c r="P47" s="27" t="s">
        <v>1</v>
      </c>
      <c r="Q47" s="27"/>
      <c r="R47" s="28" t="s">
        <v>1</v>
      </c>
      <c r="S47" s="28"/>
    </row>
    <row r="48" spans="1:19" s="1" customFormat="1" ht="13.5" customHeight="1">
      <c r="A48" s="22" t="s">
        <v>113</v>
      </c>
      <c r="B48" s="22"/>
      <c r="C48" s="22"/>
      <c r="D48" s="22"/>
      <c r="E48" s="22"/>
      <c r="F48" s="23" t="s">
        <v>97</v>
      </c>
      <c r="G48" s="23"/>
      <c r="H48" s="23"/>
      <c r="I48" s="24">
        <f>170000</f>
        <v>170000</v>
      </c>
      <c r="J48" s="24"/>
      <c r="K48" s="25">
        <f>170000</f>
        <v>170000</v>
      </c>
      <c r="L48" s="25"/>
      <c r="M48" s="13" t="s">
        <v>1</v>
      </c>
      <c r="N48" s="13" t="s">
        <v>114</v>
      </c>
      <c r="O48" s="14" t="s">
        <v>114</v>
      </c>
      <c r="P48" s="24">
        <f>170000</f>
        <v>170000</v>
      </c>
      <c r="Q48" s="24"/>
      <c r="R48" s="26">
        <f>170000</f>
        <v>170000</v>
      </c>
      <c r="S48" s="26"/>
    </row>
    <row r="49" spans="1:19" s="1" customFormat="1" ht="24" customHeight="1">
      <c r="A49" s="22" t="s">
        <v>115</v>
      </c>
      <c r="B49" s="22"/>
      <c r="C49" s="22"/>
      <c r="D49" s="22"/>
      <c r="E49" s="22"/>
      <c r="F49" s="23" t="s">
        <v>100</v>
      </c>
      <c r="G49" s="23"/>
      <c r="H49" s="23"/>
      <c r="I49" s="24">
        <f>170000</f>
        <v>170000</v>
      </c>
      <c r="J49" s="24"/>
      <c r="K49" s="25">
        <f>170000</f>
        <v>170000</v>
      </c>
      <c r="L49" s="25"/>
      <c r="M49" s="13" t="s">
        <v>1</v>
      </c>
      <c r="N49" s="13" t="s">
        <v>114</v>
      </c>
      <c r="O49" s="14" t="s">
        <v>114</v>
      </c>
      <c r="P49" s="24">
        <f>170000</f>
        <v>170000</v>
      </c>
      <c r="Q49" s="24"/>
      <c r="R49" s="26">
        <f>170000</f>
        <v>170000</v>
      </c>
      <c r="S49" s="26"/>
    </row>
    <row r="50" spans="1:19" s="1" customFormat="1" ht="13.5" customHeight="1">
      <c r="A50" s="22" t="s">
        <v>116</v>
      </c>
      <c r="B50" s="22"/>
      <c r="C50" s="22"/>
      <c r="D50" s="22"/>
      <c r="E50" s="22"/>
      <c r="F50" s="23" t="s">
        <v>97</v>
      </c>
      <c r="G50" s="23"/>
      <c r="H50" s="23"/>
      <c r="I50" s="24">
        <f>250000</f>
        <v>250000</v>
      </c>
      <c r="J50" s="24"/>
      <c r="K50" s="25">
        <f>250000</f>
        <v>250000</v>
      </c>
      <c r="L50" s="25"/>
      <c r="M50" s="12">
        <f>97522.34</f>
        <v>97522.34</v>
      </c>
      <c r="N50" s="13" t="s">
        <v>117</v>
      </c>
      <c r="O50" s="14" t="s">
        <v>117</v>
      </c>
      <c r="P50" s="24">
        <f>152477.66</f>
        <v>152477.66</v>
      </c>
      <c r="Q50" s="24"/>
      <c r="R50" s="26">
        <f>152477.66</f>
        <v>152477.66</v>
      </c>
      <c r="S50" s="26"/>
    </row>
    <row r="51" spans="1:19" s="1" customFormat="1" ht="24" customHeight="1">
      <c r="A51" s="22" t="s">
        <v>118</v>
      </c>
      <c r="B51" s="22"/>
      <c r="C51" s="22"/>
      <c r="D51" s="22"/>
      <c r="E51" s="22"/>
      <c r="F51" s="23" t="s">
        <v>100</v>
      </c>
      <c r="G51" s="23"/>
      <c r="H51" s="23"/>
      <c r="I51" s="24">
        <f>150000</f>
        <v>150000</v>
      </c>
      <c r="J51" s="24"/>
      <c r="K51" s="25">
        <f>150000</f>
        <v>150000</v>
      </c>
      <c r="L51" s="25"/>
      <c r="M51" s="12">
        <f>97522.34</f>
        <v>97522.34</v>
      </c>
      <c r="N51" s="13" t="s">
        <v>119</v>
      </c>
      <c r="O51" s="14" t="s">
        <v>119</v>
      </c>
      <c r="P51" s="24">
        <f>52477.66</f>
        <v>52477.66</v>
      </c>
      <c r="Q51" s="24"/>
      <c r="R51" s="26">
        <f>52477.66</f>
        <v>52477.66</v>
      </c>
      <c r="S51" s="26"/>
    </row>
    <row r="52" spans="1:19" s="1" customFormat="1" ht="13.5" customHeight="1">
      <c r="A52" s="22" t="s">
        <v>120</v>
      </c>
      <c r="B52" s="22"/>
      <c r="C52" s="22"/>
      <c r="D52" s="22"/>
      <c r="E52" s="22"/>
      <c r="F52" s="23" t="s">
        <v>103</v>
      </c>
      <c r="G52" s="23"/>
      <c r="H52" s="23"/>
      <c r="I52" s="24">
        <f>100000</f>
        <v>100000</v>
      </c>
      <c r="J52" s="24"/>
      <c r="K52" s="25">
        <f>100000</f>
        <v>100000</v>
      </c>
      <c r="L52" s="25"/>
      <c r="M52" s="13" t="s">
        <v>1</v>
      </c>
      <c r="N52" s="13" t="s">
        <v>114</v>
      </c>
      <c r="O52" s="14" t="s">
        <v>114</v>
      </c>
      <c r="P52" s="24">
        <f>100000</f>
        <v>100000</v>
      </c>
      <c r="Q52" s="24"/>
      <c r="R52" s="26">
        <f>100000</f>
        <v>100000</v>
      </c>
      <c r="S52" s="26"/>
    </row>
    <row r="53" spans="1:19" s="1" customFormat="1" ht="13.5" customHeight="1">
      <c r="A53" s="22" t="s">
        <v>121</v>
      </c>
      <c r="B53" s="22"/>
      <c r="C53" s="22"/>
      <c r="D53" s="22"/>
      <c r="E53" s="22"/>
      <c r="F53" s="23" t="s">
        <v>122</v>
      </c>
      <c r="G53" s="23"/>
      <c r="H53" s="23"/>
      <c r="I53" s="24">
        <f>528649.44</f>
        <v>528649.44</v>
      </c>
      <c r="J53" s="24"/>
      <c r="K53" s="25">
        <f>528649.44</f>
        <v>528649.44</v>
      </c>
      <c r="L53" s="25"/>
      <c r="M53" s="12">
        <f>456412.62</f>
        <v>456412.62</v>
      </c>
      <c r="N53" s="13" t="s">
        <v>123</v>
      </c>
      <c r="O53" s="14" t="s">
        <v>123</v>
      </c>
      <c r="P53" s="24">
        <f>72236.82</f>
        <v>72236.82</v>
      </c>
      <c r="Q53" s="24"/>
      <c r="R53" s="26">
        <f>72236.82</f>
        <v>72236.82</v>
      </c>
      <c r="S53" s="26"/>
    </row>
    <row r="54" spans="1:19" s="1" customFormat="1" ht="33.75" customHeight="1">
      <c r="A54" s="22" t="s">
        <v>124</v>
      </c>
      <c r="B54" s="22"/>
      <c r="C54" s="22"/>
      <c r="D54" s="22"/>
      <c r="E54" s="22"/>
      <c r="F54" s="23" t="s">
        <v>125</v>
      </c>
      <c r="G54" s="23"/>
      <c r="H54" s="23"/>
      <c r="I54" s="24">
        <f>528649.44</f>
        <v>528649.44</v>
      </c>
      <c r="J54" s="24"/>
      <c r="K54" s="25">
        <f>528649.44</f>
        <v>528649.44</v>
      </c>
      <c r="L54" s="25"/>
      <c r="M54" s="12">
        <f>456412.62</f>
        <v>456412.62</v>
      </c>
      <c r="N54" s="13" t="s">
        <v>123</v>
      </c>
      <c r="O54" s="14" t="s">
        <v>123</v>
      </c>
      <c r="P54" s="24">
        <f>72236.82</f>
        <v>72236.82</v>
      </c>
      <c r="Q54" s="24"/>
      <c r="R54" s="26">
        <f>72236.82</f>
        <v>72236.82</v>
      </c>
      <c r="S54" s="26"/>
    </row>
    <row r="55" spans="1:19" s="1" customFormat="1" ht="13.5" customHeight="1">
      <c r="A55" s="22" t="s">
        <v>126</v>
      </c>
      <c r="B55" s="22"/>
      <c r="C55" s="22"/>
      <c r="D55" s="22"/>
      <c r="E55" s="22"/>
      <c r="F55" s="23" t="s">
        <v>47</v>
      </c>
      <c r="G55" s="23"/>
      <c r="H55" s="23"/>
      <c r="I55" s="24">
        <f>405999.44</f>
        <v>405999.44</v>
      </c>
      <c r="J55" s="24"/>
      <c r="K55" s="25">
        <f>405999.44</f>
        <v>405999.44</v>
      </c>
      <c r="L55" s="25"/>
      <c r="M55" s="12">
        <f>353780.34</f>
        <v>353780.34</v>
      </c>
      <c r="N55" s="13" t="s">
        <v>127</v>
      </c>
      <c r="O55" s="14" t="s">
        <v>127</v>
      </c>
      <c r="P55" s="24">
        <f>52219.1</f>
        <v>52219.1</v>
      </c>
      <c r="Q55" s="24"/>
      <c r="R55" s="26">
        <f>52219.1</f>
        <v>52219.1</v>
      </c>
      <c r="S55" s="26"/>
    </row>
    <row r="56" spans="1:19" s="1" customFormat="1" ht="45" customHeight="1">
      <c r="A56" s="22" t="s">
        <v>128</v>
      </c>
      <c r="B56" s="22"/>
      <c r="C56" s="22"/>
      <c r="D56" s="22"/>
      <c r="E56" s="22"/>
      <c r="F56" s="23" t="s">
        <v>50</v>
      </c>
      <c r="G56" s="23"/>
      <c r="H56" s="23"/>
      <c r="I56" s="24">
        <f>122650</f>
        <v>122650</v>
      </c>
      <c r="J56" s="24"/>
      <c r="K56" s="25">
        <f>122650</f>
        <v>122650</v>
      </c>
      <c r="L56" s="25"/>
      <c r="M56" s="12">
        <f>102632.28</f>
        <v>102632.28</v>
      </c>
      <c r="N56" s="13" t="s">
        <v>129</v>
      </c>
      <c r="O56" s="14" t="s">
        <v>129</v>
      </c>
      <c r="P56" s="24">
        <f>20017.72</f>
        <v>20017.72</v>
      </c>
      <c r="Q56" s="24"/>
      <c r="R56" s="26">
        <f>20017.72</f>
        <v>20017.72</v>
      </c>
      <c r="S56" s="26"/>
    </row>
    <row r="57" spans="1:19" s="1" customFormat="1" ht="13.5" customHeight="1">
      <c r="A57" s="22" t="s">
        <v>130</v>
      </c>
      <c r="B57" s="22"/>
      <c r="C57" s="22"/>
      <c r="D57" s="22"/>
      <c r="E57" s="22"/>
      <c r="F57" s="23" t="s">
        <v>131</v>
      </c>
      <c r="G57" s="23"/>
      <c r="H57" s="23"/>
      <c r="I57" s="24">
        <f>155600</f>
        <v>155600</v>
      </c>
      <c r="J57" s="24"/>
      <c r="K57" s="25">
        <f>155600</f>
        <v>155600</v>
      </c>
      <c r="L57" s="25"/>
      <c r="M57" s="12">
        <f>113335.37</f>
        <v>113335.37</v>
      </c>
      <c r="N57" s="13" t="s">
        <v>132</v>
      </c>
      <c r="O57" s="14" t="s">
        <v>132</v>
      </c>
      <c r="P57" s="24">
        <f>42264.63</f>
        <v>42264.63</v>
      </c>
      <c r="Q57" s="24"/>
      <c r="R57" s="26">
        <f>42264.63</f>
        <v>42264.63</v>
      </c>
      <c r="S57" s="26"/>
    </row>
    <row r="58" spans="1:19" s="1" customFormat="1" ht="66" customHeight="1">
      <c r="A58" s="22" t="s">
        <v>133</v>
      </c>
      <c r="B58" s="22"/>
      <c r="C58" s="22"/>
      <c r="D58" s="22"/>
      <c r="E58" s="22"/>
      <c r="F58" s="23" t="s">
        <v>134</v>
      </c>
      <c r="G58" s="23"/>
      <c r="H58" s="23"/>
      <c r="I58" s="24">
        <f>91000</f>
        <v>91000</v>
      </c>
      <c r="J58" s="24"/>
      <c r="K58" s="25">
        <f>91000</f>
        <v>91000</v>
      </c>
      <c r="L58" s="25"/>
      <c r="M58" s="12">
        <f>76268.7</f>
        <v>76268.7</v>
      </c>
      <c r="N58" s="13" t="s">
        <v>135</v>
      </c>
      <c r="O58" s="14" t="s">
        <v>135</v>
      </c>
      <c r="P58" s="24">
        <f>14731.3</f>
        <v>14731.3</v>
      </c>
      <c r="Q58" s="24"/>
      <c r="R58" s="26">
        <f>14731.3</f>
        <v>14731.3</v>
      </c>
      <c r="S58" s="26"/>
    </row>
    <row r="59" spans="1:19" s="1" customFormat="1" ht="13.5" customHeight="1">
      <c r="A59" s="22" t="s">
        <v>136</v>
      </c>
      <c r="B59" s="22"/>
      <c r="C59" s="22"/>
      <c r="D59" s="22"/>
      <c r="E59" s="22"/>
      <c r="F59" s="23" t="s">
        <v>47</v>
      </c>
      <c r="G59" s="23"/>
      <c r="H59" s="23"/>
      <c r="I59" s="24">
        <f>91000</f>
        <v>91000</v>
      </c>
      <c r="J59" s="24"/>
      <c r="K59" s="25">
        <f>91000</f>
        <v>91000</v>
      </c>
      <c r="L59" s="25"/>
      <c r="M59" s="12">
        <f>76268.7</f>
        <v>76268.7</v>
      </c>
      <c r="N59" s="13" t="s">
        <v>135</v>
      </c>
      <c r="O59" s="14" t="s">
        <v>135</v>
      </c>
      <c r="P59" s="24">
        <f>14731.3</f>
        <v>14731.3</v>
      </c>
      <c r="Q59" s="24"/>
      <c r="R59" s="26">
        <f>14731.3</f>
        <v>14731.3</v>
      </c>
      <c r="S59" s="26"/>
    </row>
    <row r="60" spans="1:19" s="1" customFormat="1" ht="66" customHeight="1">
      <c r="A60" s="22" t="s">
        <v>137</v>
      </c>
      <c r="B60" s="22"/>
      <c r="C60" s="22"/>
      <c r="D60" s="22"/>
      <c r="E60" s="22"/>
      <c r="F60" s="23" t="s">
        <v>138</v>
      </c>
      <c r="G60" s="23"/>
      <c r="H60" s="23"/>
      <c r="I60" s="24">
        <f>64600</f>
        <v>64600</v>
      </c>
      <c r="J60" s="24"/>
      <c r="K60" s="25">
        <f>64600</f>
        <v>64600</v>
      </c>
      <c r="L60" s="25"/>
      <c r="M60" s="12">
        <f>37066.67</f>
        <v>37066.67</v>
      </c>
      <c r="N60" s="13" t="s">
        <v>139</v>
      </c>
      <c r="O60" s="14" t="s">
        <v>139</v>
      </c>
      <c r="P60" s="24">
        <f>27533.33</f>
        <v>27533.33</v>
      </c>
      <c r="Q60" s="24"/>
      <c r="R60" s="26">
        <f>27533.33</f>
        <v>27533.33</v>
      </c>
      <c r="S60" s="26"/>
    </row>
    <row r="61" spans="1:19" s="1" customFormat="1" ht="45" customHeight="1">
      <c r="A61" s="22" t="s">
        <v>140</v>
      </c>
      <c r="B61" s="22"/>
      <c r="C61" s="22"/>
      <c r="D61" s="22"/>
      <c r="E61" s="22"/>
      <c r="F61" s="23" t="s">
        <v>50</v>
      </c>
      <c r="G61" s="23"/>
      <c r="H61" s="23"/>
      <c r="I61" s="24">
        <f>27500</f>
        <v>27500</v>
      </c>
      <c r="J61" s="24"/>
      <c r="K61" s="25">
        <f>27500</f>
        <v>27500</v>
      </c>
      <c r="L61" s="25"/>
      <c r="M61" s="12">
        <f>21126.67</f>
        <v>21126.67</v>
      </c>
      <c r="N61" s="13" t="s">
        <v>141</v>
      </c>
      <c r="O61" s="14" t="s">
        <v>141</v>
      </c>
      <c r="P61" s="24">
        <f>6373.33</f>
        <v>6373.33</v>
      </c>
      <c r="Q61" s="24"/>
      <c r="R61" s="26">
        <f>6373.33</f>
        <v>6373.33</v>
      </c>
      <c r="S61" s="26"/>
    </row>
    <row r="62" spans="1:19" s="1" customFormat="1" ht="24" customHeight="1">
      <c r="A62" s="22" t="s">
        <v>142</v>
      </c>
      <c r="B62" s="22"/>
      <c r="C62" s="22"/>
      <c r="D62" s="22"/>
      <c r="E62" s="22"/>
      <c r="F62" s="23" t="s">
        <v>100</v>
      </c>
      <c r="G62" s="23"/>
      <c r="H62" s="23"/>
      <c r="I62" s="24">
        <f>37100</f>
        <v>37100</v>
      </c>
      <c r="J62" s="24"/>
      <c r="K62" s="25">
        <f>37100</f>
        <v>37100</v>
      </c>
      <c r="L62" s="25"/>
      <c r="M62" s="12">
        <f>15940</f>
        <v>15940</v>
      </c>
      <c r="N62" s="13" t="s">
        <v>143</v>
      </c>
      <c r="O62" s="14" t="s">
        <v>143</v>
      </c>
      <c r="P62" s="24">
        <f>21160</f>
        <v>21160</v>
      </c>
      <c r="Q62" s="24"/>
      <c r="R62" s="26">
        <f>21160</f>
        <v>21160</v>
      </c>
      <c r="S62" s="26"/>
    </row>
    <row r="63" spans="1:19" s="1" customFormat="1" ht="33.75" customHeight="1">
      <c r="A63" s="22" t="s">
        <v>144</v>
      </c>
      <c r="B63" s="22"/>
      <c r="C63" s="22"/>
      <c r="D63" s="22"/>
      <c r="E63" s="22"/>
      <c r="F63" s="23" t="s">
        <v>145</v>
      </c>
      <c r="G63" s="23"/>
      <c r="H63" s="23"/>
      <c r="I63" s="24">
        <f>167967.98</f>
        <v>167967.98</v>
      </c>
      <c r="J63" s="24"/>
      <c r="K63" s="25">
        <f>167967.98</f>
        <v>167967.98</v>
      </c>
      <c r="L63" s="25"/>
      <c r="M63" s="12">
        <f>64077.4</f>
        <v>64077.4</v>
      </c>
      <c r="N63" s="13" t="s">
        <v>146</v>
      </c>
      <c r="O63" s="14" t="s">
        <v>146</v>
      </c>
      <c r="P63" s="24">
        <f>103890.58</f>
        <v>103890.58</v>
      </c>
      <c r="Q63" s="24"/>
      <c r="R63" s="26">
        <f>103890.58</f>
        <v>103890.58</v>
      </c>
      <c r="S63" s="26"/>
    </row>
    <row r="64" spans="1:19" s="1" customFormat="1" ht="13.5" customHeight="1">
      <c r="A64" s="22" t="s">
        <v>147</v>
      </c>
      <c r="B64" s="22"/>
      <c r="C64" s="22"/>
      <c r="D64" s="22"/>
      <c r="E64" s="22"/>
      <c r="F64" s="23" t="s">
        <v>97</v>
      </c>
      <c r="G64" s="23"/>
      <c r="H64" s="23"/>
      <c r="I64" s="24">
        <f>17967.98</f>
        <v>17967.98</v>
      </c>
      <c r="J64" s="24"/>
      <c r="K64" s="25">
        <f>17967.98</f>
        <v>17967.98</v>
      </c>
      <c r="L64" s="25"/>
      <c r="M64" s="12">
        <f>14077.4</f>
        <v>14077.4</v>
      </c>
      <c r="N64" s="13" t="s">
        <v>148</v>
      </c>
      <c r="O64" s="14" t="s">
        <v>148</v>
      </c>
      <c r="P64" s="24">
        <f>3890.58</f>
        <v>3890.58</v>
      </c>
      <c r="Q64" s="24"/>
      <c r="R64" s="26">
        <f>3890.58</f>
        <v>3890.58</v>
      </c>
      <c r="S64" s="26"/>
    </row>
    <row r="65" spans="1:19" s="1" customFormat="1" ht="24" customHeight="1">
      <c r="A65" s="22" t="s">
        <v>149</v>
      </c>
      <c r="B65" s="22"/>
      <c r="C65" s="22"/>
      <c r="D65" s="22"/>
      <c r="E65" s="22"/>
      <c r="F65" s="23" t="s">
        <v>100</v>
      </c>
      <c r="G65" s="23"/>
      <c r="H65" s="23"/>
      <c r="I65" s="24">
        <f>17967.98</f>
        <v>17967.98</v>
      </c>
      <c r="J65" s="24"/>
      <c r="K65" s="25">
        <f>17967.98</f>
        <v>17967.98</v>
      </c>
      <c r="L65" s="25"/>
      <c r="M65" s="12">
        <f>14077.4</f>
        <v>14077.4</v>
      </c>
      <c r="N65" s="13" t="s">
        <v>148</v>
      </c>
      <c r="O65" s="14" t="s">
        <v>148</v>
      </c>
      <c r="P65" s="24">
        <f>3890.58</f>
        <v>3890.58</v>
      </c>
      <c r="Q65" s="24"/>
      <c r="R65" s="26">
        <f>3890.58</f>
        <v>3890.58</v>
      </c>
      <c r="S65" s="26"/>
    </row>
    <row r="66" spans="1:19" s="1" customFormat="1" ht="24" customHeight="1">
      <c r="A66" s="22" t="s">
        <v>150</v>
      </c>
      <c r="B66" s="22"/>
      <c r="C66" s="22"/>
      <c r="D66" s="22"/>
      <c r="E66" s="22"/>
      <c r="F66" s="23" t="s">
        <v>151</v>
      </c>
      <c r="G66" s="23"/>
      <c r="H66" s="23"/>
      <c r="I66" s="24">
        <f>50000</f>
        <v>50000</v>
      </c>
      <c r="J66" s="24"/>
      <c r="K66" s="25">
        <f>50000</f>
        <v>50000</v>
      </c>
      <c r="L66" s="25"/>
      <c r="M66" s="12">
        <f>50000</f>
        <v>50000</v>
      </c>
      <c r="N66" s="13" t="s">
        <v>54</v>
      </c>
      <c r="O66" s="14" t="s">
        <v>54</v>
      </c>
      <c r="P66" s="27" t="s">
        <v>1</v>
      </c>
      <c r="Q66" s="27"/>
      <c r="R66" s="28" t="s">
        <v>1</v>
      </c>
      <c r="S66" s="28"/>
    </row>
    <row r="67" spans="1:19" s="1" customFormat="1" ht="24" customHeight="1">
      <c r="A67" s="22" t="s">
        <v>152</v>
      </c>
      <c r="B67" s="22"/>
      <c r="C67" s="22"/>
      <c r="D67" s="22"/>
      <c r="E67" s="22"/>
      <c r="F67" s="23" t="s">
        <v>100</v>
      </c>
      <c r="G67" s="23"/>
      <c r="H67" s="23"/>
      <c r="I67" s="24">
        <f>50000</f>
        <v>50000</v>
      </c>
      <c r="J67" s="24"/>
      <c r="K67" s="25">
        <f>50000</f>
        <v>50000</v>
      </c>
      <c r="L67" s="25"/>
      <c r="M67" s="12">
        <f>50000</f>
        <v>50000</v>
      </c>
      <c r="N67" s="13" t="s">
        <v>54</v>
      </c>
      <c r="O67" s="14" t="s">
        <v>54</v>
      </c>
      <c r="P67" s="27" t="s">
        <v>1</v>
      </c>
      <c r="Q67" s="27"/>
      <c r="R67" s="28" t="s">
        <v>1</v>
      </c>
      <c r="S67" s="28"/>
    </row>
    <row r="68" spans="1:19" s="1" customFormat="1" ht="13.5" customHeight="1">
      <c r="A68" s="22" t="s">
        <v>153</v>
      </c>
      <c r="B68" s="22"/>
      <c r="C68" s="22"/>
      <c r="D68" s="22"/>
      <c r="E68" s="22"/>
      <c r="F68" s="23" t="s">
        <v>97</v>
      </c>
      <c r="G68" s="23"/>
      <c r="H68" s="23"/>
      <c r="I68" s="24">
        <f>100000</f>
        <v>100000</v>
      </c>
      <c r="J68" s="24"/>
      <c r="K68" s="25">
        <f>100000</f>
        <v>100000</v>
      </c>
      <c r="L68" s="25"/>
      <c r="M68" s="13" t="s">
        <v>1</v>
      </c>
      <c r="N68" s="13" t="s">
        <v>114</v>
      </c>
      <c r="O68" s="14" t="s">
        <v>114</v>
      </c>
      <c r="P68" s="24">
        <f>100000</f>
        <v>100000</v>
      </c>
      <c r="Q68" s="24"/>
      <c r="R68" s="26">
        <f>100000</f>
        <v>100000</v>
      </c>
      <c r="S68" s="26"/>
    </row>
    <row r="69" spans="1:19" s="1" customFormat="1" ht="24" customHeight="1">
      <c r="A69" s="22" t="s">
        <v>154</v>
      </c>
      <c r="B69" s="22"/>
      <c r="C69" s="22"/>
      <c r="D69" s="22"/>
      <c r="E69" s="22"/>
      <c r="F69" s="23" t="s">
        <v>100</v>
      </c>
      <c r="G69" s="23"/>
      <c r="H69" s="23"/>
      <c r="I69" s="24">
        <f>100000</f>
        <v>100000</v>
      </c>
      <c r="J69" s="24"/>
      <c r="K69" s="25">
        <f>100000</f>
        <v>100000</v>
      </c>
      <c r="L69" s="25"/>
      <c r="M69" s="13" t="s">
        <v>1</v>
      </c>
      <c r="N69" s="13" t="s">
        <v>114</v>
      </c>
      <c r="O69" s="14" t="s">
        <v>114</v>
      </c>
      <c r="P69" s="24">
        <f>100000</f>
        <v>100000</v>
      </c>
      <c r="Q69" s="24"/>
      <c r="R69" s="26">
        <f>100000</f>
        <v>100000</v>
      </c>
      <c r="S69" s="26"/>
    </row>
    <row r="70" spans="1:19" s="1" customFormat="1" ht="24" customHeight="1">
      <c r="A70" s="22" t="s">
        <v>155</v>
      </c>
      <c r="B70" s="22"/>
      <c r="C70" s="22"/>
      <c r="D70" s="22"/>
      <c r="E70" s="22"/>
      <c r="F70" s="23" t="s">
        <v>156</v>
      </c>
      <c r="G70" s="23"/>
      <c r="H70" s="23"/>
      <c r="I70" s="24">
        <f>23050</f>
        <v>23050</v>
      </c>
      <c r="J70" s="24"/>
      <c r="K70" s="25">
        <f>23050</f>
        <v>23050</v>
      </c>
      <c r="L70" s="25"/>
      <c r="M70" s="13" t="s">
        <v>1</v>
      </c>
      <c r="N70" s="13" t="s">
        <v>114</v>
      </c>
      <c r="O70" s="14" t="s">
        <v>114</v>
      </c>
      <c r="P70" s="24">
        <f>23050</f>
        <v>23050</v>
      </c>
      <c r="Q70" s="24"/>
      <c r="R70" s="26">
        <f>23050</f>
        <v>23050</v>
      </c>
      <c r="S70" s="26"/>
    </row>
    <row r="71" spans="1:19" s="1" customFormat="1" ht="33.75" customHeight="1">
      <c r="A71" s="22" t="s">
        <v>157</v>
      </c>
      <c r="B71" s="22"/>
      <c r="C71" s="22"/>
      <c r="D71" s="22"/>
      <c r="E71" s="22"/>
      <c r="F71" s="23" t="s">
        <v>158</v>
      </c>
      <c r="G71" s="23"/>
      <c r="H71" s="23"/>
      <c r="I71" s="24">
        <f>11525</f>
        <v>11525</v>
      </c>
      <c r="J71" s="24"/>
      <c r="K71" s="25">
        <f>11525</f>
        <v>11525</v>
      </c>
      <c r="L71" s="25"/>
      <c r="M71" s="13" t="s">
        <v>1</v>
      </c>
      <c r="N71" s="13" t="s">
        <v>114</v>
      </c>
      <c r="O71" s="14" t="s">
        <v>114</v>
      </c>
      <c r="P71" s="24">
        <f>11525</f>
        <v>11525</v>
      </c>
      <c r="Q71" s="24"/>
      <c r="R71" s="26">
        <f>11525</f>
        <v>11525</v>
      </c>
      <c r="S71" s="26"/>
    </row>
    <row r="72" spans="1:19" s="1" customFormat="1" ht="24" customHeight="1">
      <c r="A72" s="22" t="s">
        <v>159</v>
      </c>
      <c r="B72" s="22"/>
      <c r="C72" s="22"/>
      <c r="D72" s="22"/>
      <c r="E72" s="22"/>
      <c r="F72" s="23" t="s">
        <v>100</v>
      </c>
      <c r="G72" s="23"/>
      <c r="H72" s="23"/>
      <c r="I72" s="24">
        <f>11525</f>
        <v>11525</v>
      </c>
      <c r="J72" s="24"/>
      <c r="K72" s="25">
        <f>11525</f>
        <v>11525</v>
      </c>
      <c r="L72" s="25"/>
      <c r="M72" s="13" t="s">
        <v>1</v>
      </c>
      <c r="N72" s="13" t="s">
        <v>114</v>
      </c>
      <c r="O72" s="14" t="s">
        <v>114</v>
      </c>
      <c r="P72" s="24">
        <f>11525</f>
        <v>11525</v>
      </c>
      <c r="Q72" s="24"/>
      <c r="R72" s="26">
        <f>11525</f>
        <v>11525</v>
      </c>
      <c r="S72" s="26"/>
    </row>
    <row r="73" spans="1:19" s="1" customFormat="1" ht="24" customHeight="1">
      <c r="A73" s="22" t="s">
        <v>160</v>
      </c>
      <c r="B73" s="22"/>
      <c r="C73" s="22"/>
      <c r="D73" s="22"/>
      <c r="E73" s="22"/>
      <c r="F73" s="23" t="s">
        <v>161</v>
      </c>
      <c r="G73" s="23"/>
      <c r="H73" s="23"/>
      <c r="I73" s="24">
        <f>11525</f>
        <v>11525</v>
      </c>
      <c r="J73" s="24"/>
      <c r="K73" s="25">
        <f>11525</f>
        <v>11525</v>
      </c>
      <c r="L73" s="25"/>
      <c r="M73" s="13" t="s">
        <v>1</v>
      </c>
      <c r="N73" s="13" t="s">
        <v>114</v>
      </c>
      <c r="O73" s="14" t="s">
        <v>114</v>
      </c>
      <c r="P73" s="24">
        <f>11525</f>
        <v>11525</v>
      </c>
      <c r="Q73" s="24"/>
      <c r="R73" s="26">
        <f>11525</f>
        <v>11525</v>
      </c>
      <c r="S73" s="26"/>
    </row>
    <row r="74" spans="1:19" s="1" customFormat="1" ht="24" customHeight="1">
      <c r="A74" s="22" t="s">
        <v>162</v>
      </c>
      <c r="B74" s="22"/>
      <c r="C74" s="22"/>
      <c r="D74" s="22"/>
      <c r="E74" s="22"/>
      <c r="F74" s="23" t="s">
        <v>100</v>
      </c>
      <c r="G74" s="23"/>
      <c r="H74" s="23"/>
      <c r="I74" s="24">
        <f>11525</f>
        <v>11525</v>
      </c>
      <c r="J74" s="24"/>
      <c r="K74" s="25">
        <f>11525</f>
        <v>11525</v>
      </c>
      <c r="L74" s="25"/>
      <c r="M74" s="13" t="s">
        <v>1</v>
      </c>
      <c r="N74" s="13" t="s">
        <v>114</v>
      </c>
      <c r="O74" s="14" t="s">
        <v>114</v>
      </c>
      <c r="P74" s="24">
        <f>11525</f>
        <v>11525</v>
      </c>
      <c r="Q74" s="24"/>
      <c r="R74" s="26">
        <f>11525</f>
        <v>11525</v>
      </c>
      <c r="S74" s="26"/>
    </row>
    <row r="75" spans="1:19" s="1" customFormat="1" ht="13.5" customHeight="1">
      <c r="A75" s="22" t="s">
        <v>163</v>
      </c>
      <c r="B75" s="22"/>
      <c r="C75" s="22"/>
      <c r="D75" s="22"/>
      <c r="E75" s="22"/>
      <c r="F75" s="23" t="s">
        <v>164</v>
      </c>
      <c r="G75" s="23"/>
      <c r="H75" s="23"/>
      <c r="I75" s="24">
        <f>882207.79</f>
        <v>882207.79</v>
      </c>
      <c r="J75" s="24"/>
      <c r="K75" s="25">
        <f>882207.79</f>
        <v>882207.79</v>
      </c>
      <c r="L75" s="25"/>
      <c r="M75" s="12">
        <f>882207.79</f>
        <v>882207.79</v>
      </c>
      <c r="N75" s="13" t="s">
        <v>54</v>
      </c>
      <c r="O75" s="14" t="s">
        <v>54</v>
      </c>
      <c r="P75" s="27" t="s">
        <v>1</v>
      </c>
      <c r="Q75" s="27"/>
      <c r="R75" s="28" t="s">
        <v>1</v>
      </c>
      <c r="S75" s="28"/>
    </row>
    <row r="76" spans="1:19" s="1" customFormat="1" ht="54.75" customHeight="1">
      <c r="A76" s="22" t="s">
        <v>165</v>
      </c>
      <c r="B76" s="22"/>
      <c r="C76" s="22"/>
      <c r="D76" s="22"/>
      <c r="E76" s="22"/>
      <c r="F76" s="23" t="s">
        <v>166</v>
      </c>
      <c r="G76" s="23"/>
      <c r="H76" s="23"/>
      <c r="I76" s="24">
        <f>882207.79</f>
        <v>882207.79</v>
      </c>
      <c r="J76" s="24"/>
      <c r="K76" s="25">
        <f>882207.79</f>
        <v>882207.79</v>
      </c>
      <c r="L76" s="25"/>
      <c r="M76" s="12">
        <f>882207.79</f>
        <v>882207.79</v>
      </c>
      <c r="N76" s="13" t="s">
        <v>54</v>
      </c>
      <c r="O76" s="14" t="s">
        <v>54</v>
      </c>
      <c r="P76" s="27" t="s">
        <v>1</v>
      </c>
      <c r="Q76" s="27"/>
      <c r="R76" s="28" t="s">
        <v>1</v>
      </c>
      <c r="S76" s="28"/>
    </row>
    <row r="77" spans="1:19" s="1" customFormat="1" ht="13.5" customHeight="1">
      <c r="A77" s="22" t="s">
        <v>167</v>
      </c>
      <c r="B77" s="22"/>
      <c r="C77" s="22"/>
      <c r="D77" s="22"/>
      <c r="E77" s="22"/>
      <c r="F77" s="23" t="s">
        <v>168</v>
      </c>
      <c r="G77" s="23"/>
      <c r="H77" s="23"/>
      <c r="I77" s="24">
        <f>882207.79</f>
        <v>882207.79</v>
      </c>
      <c r="J77" s="24"/>
      <c r="K77" s="25">
        <f>882207.79</f>
        <v>882207.79</v>
      </c>
      <c r="L77" s="25"/>
      <c r="M77" s="12">
        <f>882207.79</f>
        <v>882207.79</v>
      </c>
      <c r="N77" s="13" t="s">
        <v>54</v>
      </c>
      <c r="O77" s="14" t="s">
        <v>54</v>
      </c>
      <c r="P77" s="27" t="s">
        <v>1</v>
      </c>
      <c r="Q77" s="27"/>
      <c r="R77" s="28" t="s">
        <v>1</v>
      </c>
      <c r="S77" s="28"/>
    </row>
    <row r="78" spans="1:19" s="1" customFormat="1" ht="13.5" customHeight="1">
      <c r="A78" s="22" t="s">
        <v>169</v>
      </c>
      <c r="B78" s="22"/>
      <c r="C78" s="22"/>
      <c r="D78" s="22"/>
      <c r="E78" s="22"/>
      <c r="F78" s="23" t="s">
        <v>170</v>
      </c>
      <c r="G78" s="23"/>
      <c r="H78" s="23"/>
      <c r="I78" s="24">
        <f>999467.67</f>
        <v>999467.67</v>
      </c>
      <c r="J78" s="24"/>
      <c r="K78" s="25">
        <f>999467.67</f>
        <v>999467.67</v>
      </c>
      <c r="L78" s="25"/>
      <c r="M78" s="12">
        <f>666000</f>
        <v>666000</v>
      </c>
      <c r="N78" s="13" t="s">
        <v>171</v>
      </c>
      <c r="O78" s="14" t="s">
        <v>171</v>
      </c>
      <c r="P78" s="24">
        <f>333467.67</f>
        <v>333467.67</v>
      </c>
      <c r="Q78" s="24"/>
      <c r="R78" s="26">
        <f>333467.67</f>
        <v>333467.67</v>
      </c>
      <c r="S78" s="26"/>
    </row>
    <row r="79" spans="1:19" s="1" customFormat="1" ht="85.5" customHeight="1">
      <c r="A79" s="22" t="s">
        <v>172</v>
      </c>
      <c r="B79" s="22"/>
      <c r="C79" s="22"/>
      <c r="D79" s="22"/>
      <c r="E79" s="22"/>
      <c r="F79" s="23" t="s">
        <v>173</v>
      </c>
      <c r="G79" s="23"/>
      <c r="H79" s="23"/>
      <c r="I79" s="24">
        <f>316350</f>
        <v>316350</v>
      </c>
      <c r="J79" s="24"/>
      <c r="K79" s="25">
        <f>316350</f>
        <v>316350</v>
      </c>
      <c r="L79" s="25"/>
      <c r="M79" s="13" t="s">
        <v>1</v>
      </c>
      <c r="N79" s="13" t="s">
        <v>114</v>
      </c>
      <c r="O79" s="14" t="s">
        <v>114</v>
      </c>
      <c r="P79" s="24">
        <f>316350</f>
        <v>316350</v>
      </c>
      <c r="Q79" s="24"/>
      <c r="R79" s="26">
        <f>316350</f>
        <v>316350</v>
      </c>
      <c r="S79" s="26"/>
    </row>
    <row r="80" spans="1:19" s="1" customFormat="1" ht="24" customHeight="1">
      <c r="A80" s="22" t="s">
        <v>174</v>
      </c>
      <c r="B80" s="22"/>
      <c r="C80" s="22"/>
      <c r="D80" s="22"/>
      <c r="E80" s="22"/>
      <c r="F80" s="23" t="s">
        <v>100</v>
      </c>
      <c r="G80" s="23"/>
      <c r="H80" s="23"/>
      <c r="I80" s="24">
        <f>316350</f>
        <v>316350</v>
      </c>
      <c r="J80" s="24"/>
      <c r="K80" s="25">
        <f>316350</f>
        <v>316350</v>
      </c>
      <c r="L80" s="25"/>
      <c r="M80" s="13" t="s">
        <v>1</v>
      </c>
      <c r="N80" s="13" t="s">
        <v>114</v>
      </c>
      <c r="O80" s="14" t="s">
        <v>114</v>
      </c>
      <c r="P80" s="24">
        <f>316350</f>
        <v>316350</v>
      </c>
      <c r="Q80" s="24"/>
      <c r="R80" s="26">
        <f>316350</f>
        <v>316350</v>
      </c>
      <c r="S80" s="26"/>
    </row>
    <row r="81" spans="1:19" s="1" customFormat="1" ht="54.75" customHeight="1">
      <c r="A81" s="22" t="s">
        <v>175</v>
      </c>
      <c r="B81" s="22"/>
      <c r="C81" s="22"/>
      <c r="D81" s="22"/>
      <c r="E81" s="22"/>
      <c r="F81" s="23" t="s">
        <v>176</v>
      </c>
      <c r="G81" s="23"/>
      <c r="H81" s="23"/>
      <c r="I81" s="24">
        <f>644803</f>
        <v>644803</v>
      </c>
      <c r="J81" s="24"/>
      <c r="K81" s="25">
        <f>644803</f>
        <v>644803</v>
      </c>
      <c r="L81" s="25"/>
      <c r="M81" s="12">
        <f>644335.33</f>
        <v>644335.33</v>
      </c>
      <c r="N81" s="13" t="s">
        <v>177</v>
      </c>
      <c r="O81" s="14" t="s">
        <v>177</v>
      </c>
      <c r="P81" s="24">
        <f>467.67</f>
        <v>467.67</v>
      </c>
      <c r="Q81" s="24"/>
      <c r="R81" s="26">
        <f>467.67</f>
        <v>467.67</v>
      </c>
      <c r="S81" s="26"/>
    </row>
    <row r="82" spans="1:19" s="1" customFormat="1" ht="24" customHeight="1">
      <c r="A82" s="22" t="s">
        <v>178</v>
      </c>
      <c r="B82" s="22"/>
      <c r="C82" s="22"/>
      <c r="D82" s="22"/>
      <c r="E82" s="22"/>
      <c r="F82" s="23" t="s">
        <v>100</v>
      </c>
      <c r="G82" s="23"/>
      <c r="H82" s="23"/>
      <c r="I82" s="24">
        <f>644803</f>
        <v>644803</v>
      </c>
      <c r="J82" s="24"/>
      <c r="K82" s="25">
        <f>644803</f>
        <v>644803</v>
      </c>
      <c r="L82" s="25"/>
      <c r="M82" s="12">
        <f>644335.33</f>
        <v>644335.33</v>
      </c>
      <c r="N82" s="13" t="s">
        <v>177</v>
      </c>
      <c r="O82" s="14" t="s">
        <v>177</v>
      </c>
      <c r="P82" s="24">
        <f>467.67</f>
        <v>467.67</v>
      </c>
      <c r="Q82" s="24"/>
      <c r="R82" s="26">
        <f>467.67</f>
        <v>467.67</v>
      </c>
      <c r="S82" s="26"/>
    </row>
    <row r="83" spans="1:19" s="1" customFormat="1" ht="45" customHeight="1">
      <c r="A83" s="22" t="s">
        <v>179</v>
      </c>
      <c r="B83" s="22"/>
      <c r="C83" s="22"/>
      <c r="D83" s="22"/>
      <c r="E83" s="22"/>
      <c r="F83" s="23" t="s">
        <v>180</v>
      </c>
      <c r="G83" s="23"/>
      <c r="H83" s="23"/>
      <c r="I83" s="24">
        <f>21664.67</f>
        <v>21664.67</v>
      </c>
      <c r="J83" s="24"/>
      <c r="K83" s="25">
        <f>21664.67</f>
        <v>21664.67</v>
      </c>
      <c r="L83" s="25"/>
      <c r="M83" s="12">
        <f>21664.67</f>
        <v>21664.67</v>
      </c>
      <c r="N83" s="13" t="s">
        <v>54</v>
      </c>
      <c r="O83" s="14" t="s">
        <v>54</v>
      </c>
      <c r="P83" s="27" t="s">
        <v>1</v>
      </c>
      <c r="Q83" s="27"/>
      <c r="R83" s="28" t="s">
        <v>1</v>
      </c>
      <c r="S83" s="28"/>
    </row>
    <row r="84" spans="1:19" s="1" customFormat="1" ht="24" customHeight="1">
      <c r="A84" s="22" t="s">
        <v>181</v>
      </c>
      <c r="B84" s="22"/>
      <c r="C84" s="22"/>
      <c r="D84" s="22"/>
      <c r="E84" s="22"/>
      <c r="F84" s="23" t="s">
        <v>100</v>
      </c>
      <c r="G84" s="23"/>
      <c r="H84" s="23"/>
      <c r="I84" s="24">
        <f>21664.67</f>
        <v>21664.67</v>
      </c>
      <c r="J84" s="24"/>
      <c r="K84" s="25">
        <f>21664.67</f>
        <v>21664.67</v>
      </c>
      <c r="L84" s="25"/>
      <c r="M84" s="12">
        <f>21664.67</f>
        <v>21664.67</v>
      </c>
      <c r="N84" s="13" t="s">
        <v>54</v>
      </c>
      <c r="O84" s="14" t="s">
        <v>54</v>
      </c>
      <c r="P84" s="27" t="s">
        <v>1</v>
      </c>
      <c r="Q84" s="27"/>
      <c r="R84" s="28" t="s">
        <v>1</v>
      </c>
      <c r="S84" s="28"/>
    </row>
    <row r="85" spans="1:19" s="1" customFormat="1" ht="13.5" customHeight="1">
      <c r="A85" s="22" t="s">
        <v>182</v>
      </c>
      <c r="B85" s="22"/>
      <c r="C85" s="22"/>
      <c r="D85" s="22"/>
      <c r="E85" s="22"/>
      <c r="F85" s="23" t="s">
        <v>97</v>
      </c>
      <c r="G85" s="23"/>
      <c r="H85" s="23"/>
      <c r="I85" s="24">
        <f>16650</f>
        <v>16650</v>
      </c>
      <c r="J85" s="24"/>
      <c r="K85" s="25">
        <f>16650</f>
        <v>16650</v>
      </c>
      <c r="L85" s="25"/>
      <c r="M85" s="13" t="s">
        <v>1</v>
      </c>
      <c r="N85" s="13" t="s">
        <v>114</v>
      </c>
      <c r="O85" s="14" t="s">
        <v>114</v>
      </c>
      <c r="P85" s="24">
        <f>16650</f>
        <v>16650</v>
      </c>
      <c r="Q85" s="24"/>
      <c r="R85" s="26">
        <f>16650</f>
        <v>16650</v>
      </c>
      <c r="S85" s="26"/>
    </row>
    <row r="86" spans="1:19" s="1" customFormat="1" ht="24" customHeight="1">
      <c r="A86" s="22" t="s">
        <v>183</v>
      </c>
      <c r="B86" s="22"/>
      <c r="C86" s="22"/>
      <c r="D86" s="22"/>
      <c r="E86" s="22"/>
      <c r="F86" s="23" t="s">
        <v>100</v>
      </c>
      <c r="G86" s="23"/>
      <c r="H86" s="23"/>
      <c r="I86" s="24">
        <f>16650</f>
        <v>16650</v>
      </c>
      <c r="J86" s="24"/>
      <c r="K86" s="25">
        <f>16650</f>
        <v>16650</v>
      </c>
      <c r="L86" s="25"/>
      <c r="M86" s="13" t="s">
        <v>1</v>
      </c>
      <c r="N86" s="13" t="s">
        <v>114</v>
      </c>
      <c r="O86" s="14" t="s">
        <v>114</v>
      </c>
      <c r="P86" s="24">
        <f>16650</f>
        <v>16650</v>
      </c>
      <c r="Q86" s="24"/>
      <c r="R86" s="26">
        <f>16650</f>
        <v>16650</v>
      </c>
      <c r="S86" s="26"/>
    </row>
    <row r="87" spans="1:19" s="1" customFormat="1" ht="13.5" customHeight="1">
      <c r="A87" s="22" t="s">
        <v>184</v>
      </c>
      <c r="B87" s="22"/>
      <c r="C87" s="22"/>
      <c r="D87" s="22"/>
      <c r="E87" s="22"/>
      <c r="F87" s="23" t="s">
        <v>185</v>
      </c>
      <c r="G87" s="23"/>
      <c r="H87" s="23"/>
      <c r="I87" s="24">
        <f>27336736.65</f>
        <v>27336736.65</v>
      </c>
      <c r="J87" s="24"/>
      <c r="K87" s="25">
        <f>27336736.65</f>
        <v>27336736.65</v>
      </c>
      <c r="L87" s="25"/>
      <c r="M87" s="12">
        <f>25037664.79</f>
        <v>25037664.79</v>
      </c>
      <c r="N87" s="13" t="s">
        <v>186</v>
      </c>
      <c r="O87" s="14" t="s">
        <v>186</v>
      </c>
      <c r="P87" s="24">
        <f>2299071.86</f>
        <v>2299071.86</v>
      </c>
      <c r="Q87" s="24"/>
      <c r="R87" s="26">
        <f>2299071.86</f>
        <v>2299071.86</v>
      </c>
      <c r="S87" s="26"/>
    </row>
    <row r="88" spans="1:19" s="1" customFormat="1" ht="13.5" customHeight="1">
      <c r="A88" s="22" t="s">
        <v>187</v>
      </c>
      <c r="B88" s="22"/>
      <c r="C88" s="22"/>
      <c r="D88" s="22"/>
      <c r="E88" s="22"/>
      <c r="F88" s="23" t="s">
        <v>97</v>
      </c>
      <c r="G88" s="23"/>
      <c r="H88" s="23"/>
      <c r="I88" s="24">
        <f>27336736.65</f>
        <v>27336736.65</v>
      </c>
      <c r="J88" s="24"/>
      <c r="K88" s="25">
        <f>27336736.65</f>
        <v>27336736.65</v>
      </c>
      <c r="L88" s="25"/>
      <c r="M88" s="12">
        <f>25037664.79</f>
        <v>25037664.79</v>
      </c>
      <c r="N88" s="13" t="s">
        <v>186</v>
      </c>
      <c r="O88" s="14" t="s">
        <v>186</v>
      </c>
      <c r="P88" s="24">
        <f>2299071.86</f>
        <v>2299071.86</v>
      </c>
      <c r="Q88" s="24"/>
      <c r="R88" s="26">
        <f>2299071.86</f>
        <v>2299071.86</v>
      </c>
      <c r="S88" s="26"/>
    </row>
    <row r="89" spans="1:19" s="1" customFormat="1" ht="24" customHeight="1">
      <c r="A89" s="22" t="s">
        <v>188</v>
      </c>
      <c r="B89" s="22"/>
      <c r="C89" s="22"/>
      <c r="D89" s="22"/>
      <c r="E89" s="22"/>
      <c r="F89" s="23" t="s">
        <v>100</v>
      </c>
      <c r="G89" s="23"/>
      <c r="H89" s="23"/>
      <c r="I89" s="24">
        <f>27336736.65</f>
        <v>27336736.65</v>
      </c>
      <c r="J89" s="24"/>
      <c r="K89" s="25">
        <f>27336736.65</f>
        <v>27336736.65</v>
      </c>
      <c r="L89" s="25"/>
      <c r="M89" s="12">
        <f>25037664.79</f>
        <v>25037664.79</v>
      </c>
      <c r="N89" s="13" t="s">
        <v>186</v>
      </c>
      <c r="O89" s="14" t="s">
        <v>186</v>
      </c>
      <c r="P89" s="24">
        <f>2299071.86</f>
        <v>2299071.86</v>
      </c>
      <c r="Q89" s="24"/>
      <c r="R89" s="26">
        <f>2299071.86</f>
        <v>2299071.86</v>
      </c>
      <c r="S89" s="26"/>
    </row>
    <row r="90" spans="1:19" s="1" customFormat="1" ht="13.5" customHeight="1">
      <c r="A90" s="22" t="s">
        <v>189</v>
      </c>
      <c r="B90" s="22"/>
      <c r="C90" s="22"/>
      <c r="D90" s="22"/>
      <c r="E90" s="22"/>
      <c r="F90" s="23" t="s">
        <v>190</v>
      </c>
      <c r="G90" s="23"/>
      <c r="H90" s="23"/>
      <c r="I90" s="24">
        <f>1925212.53</f>
        <v>1925212.53</v>
      </c>
      <c r="J90" s="24"/>
      <c r="K90" s="25">
        <f>1925212.53</f>
        <v>1925212.53</v>
      </c>
      <c r="L90" s="25"/>
      <c r="M90" s="12">
        <f>1530919.78</f>
        <v>1530919.78</v>
      </c>
      <c r="N90" s="13" t="s">
        <v>191</v>
      </c>
      <c r="O90" s="14" t="s">
        <v>191</v>
      </c>
      <c r="P90" s="24">
        <f>394292.75</f>
        <v>394292.75</v>
      </c>
      <c r="Q90" s="24"/>
      <c r="R90" s="26">
        <f>394292.75</f>
        <v>394292.75</v>
      </c>
      <c r="S90" s="26"/>
    </row>
    <row r="91" spans="1:19" s="1" customFormat="1" ht="13.5" customHeight="1">
      <c r="A91" s="22" t="s">
        <v>192</v>
      </c>
      <c r="B91" s="22"/>
      <c r="C91" s="22"/>
      <c r="D91" s="22"/>
      <c r="E91" s="22"/>
      <c r="F91" s="23" t="s">
        <v>193</v>
      </c>
      <c r="G91" s="23"/>
      <c r="H91" s="23"/>
      <c r="I91" s="24">
        <f>1925212.53</f>
        <v>1925212.53</v>
      </c>
      <c r="J91" s="24"/>
      <c r="K91" s="25">
        <f>1925212.53</f>
        <v>1925212.53</v>
      </c>
      <c r="L91" s="25"/>
      <c r="M91" s="12">
        <f>1530919.78</f>
        <v>1530919.78</v>
      </c>
      <c r="N91" s="13" t="s">
        <v>191</v>
      </c>
      <c r="O91" s="14" t="s">
        <v>191</v>
      </c>
      <c r="P91" s="24">
        <f>394292.75</f>
        <v>394292.75</v>
      </c>
      <c r="Q91" s="24"/>
      <c r="R91" s="26">
        <f>394292.75</f>
        <v>394292.75</v>
      </c>
      <c r="S91" s="26"/>
    </row>
    <row r="92" spans="1:19" s="1" customFormat="1" ht="24" customHeight="1">
      <c r="A92" s="22" t="s">
        <v>194</v>
      </c>
      <c r="B92" s="22"/>
      <c r="C92" s="22"/>
      <c r="D92" s="22"/>
      <c r="E92" s="22"/>
      <c r="F92" s="23" t="s">
        <v>100</v>
      </c>
      <c r="G92" s="23"/>
      <c r="H92" s="23"/>
      <c r="I92" s="24">
        <f>1925212.53</f>
        <v>1925212.53</v>
      </c>
      <c r="J92" s="24"/>
      <c r="K92" s="25">
        <f>1925212.53</f>
        <v>1925212.53</v>
      </c>
      <c r="L92" s="25"/>
      <c r="M92" s="12">
        <f>1530919.78</f>
        <v>1530919.78</v>
      </c>
      <c r="N92" s="13" t="s">
        <v>191</v>
      </c>
      <c r="O92" s="14" t="s">
        <v>191</v>
      </c>
      <c r="P92" s="24">
        <f>394292.75</f>
        <v>394292.75</v>
      </c>
      <c r="Q92" s="24"/>
      <c r="R92" s="26">
        <f>394292.75</f>
        <v>394292.75</v>
      </c>
      <c r="S92" s="26"/>
    </row>
    <row r="93" spans="1:19" s="1" customFormat="1" ht="24" customHeight="1">
      <c r="A93" s="22" t="s">
        <v>195</v>
      </c>
      <c r="B93" s="22"/>
      <c r="C93" s="22"/>
      <c r="D93" s="22"/>
      <c r="E93" s="22"/>
      <c r="F93" s="23" t="s">
        <v>196</v>
      </c>
      <c r="G93" s="23"/>
      <c r="H93" s="23"/>
      <c r="I93" s="24">
        <f>2802657.34</f>
        <v>2802657.34</v>
      </c>
      <c r="J93" s="24"/>
      <c r="K93" s="25">
        <f>2802657.34</f>
        <v>2802657.34</v>
      </c>
      <c r="L93" s="25"/>
      <c r="M93" s="12">
        <f>2415734.86</f>
        <v>2415734.86</v>
      </c>
      <c r="N93" s="13" t="s">
        <v>197</v>
      </c>
      <c r="O93" s="14" t="s">
        <v>197</v>
      </c>
      <c r="P93" s="24">
        <f>386922.48</f>
        <v>386922.48</v>
      </c>
      <c r="Q93" s="24"/>
      <c r="R93" s="26">
        <f>386922.48</f>
        <v>386922.48</v>
      </c>
      <c r="S93" s="26"/>
    </row>
    <row r="94" spans="1:19" s="1" customFormat="1" ht="13.5" customHeight="1">
      <c r="A94" s="22" t="s">
        <v>198</v>
      </c>
      <c r="B94" s="22"/>
      <c r="C94" s="22"/>
      <c r="D94" s="22"/>
      <c r="E94" s="22"/>
      <c r="F94" s="23" t="s">
        <v>97</v>
      </c>
      <c r="G94" s="23"/>
      <c r="H94" s="23"/>
      <c r="I94" s="24">
        <f>10000</f>
        <v>10000</v>
      </c>
      <c r="J94" s="24"/>
      <c r="K94" s="25">
        <f>10000</f>
        <v>10000</v>
      </c>
      <c r="L94" s="25"/>
      <c r="M94" s="13" t="s">
        <v>1</v>
      </c>
      <c r="N94" s="13" t="s">
        <v>114</v>
      </c>
      <c r="O94" s="14" t="s">
        <v>114</v>
      </c>
      <c r="P94" s="24">
        <f>10000</f>
        <v>10000</v>
      </c>
      <c r="Q94" s="24"/>
      <c r="R94" s="26">
        <f>10000</f>
        <v>10000</v>
      </c>
      <c r="S94" s="26"/>
    </row>
    <row r="95" spans="1:19" s="1" customFormat="1" ht="24" customHeight="1">
      <c r="A95" s="22" t="s">
        <v>199</v>
      </c>
      <c r="B95" s="22"/>
      <c r="C95" s="22"/>
      <c r="D95" s="22"/>
      <c r="E95" s="22"/>
      <c r="F95" s="23" t="s">
        <v>100</v>
      </c>
      <c r="G95" s="23"/>
      <c r="H95" s="23"/>
      <c r="I95" s="24">
        <f>10000</f>
        <v>10000</v>
      </c>
      <c r="J95" s="24"/>
      <c r="K95" s="25">
        <f>10000</f>
        <v>10000</v>
      </c>
      <c r="L95" s="25"/>
      <c r="M95" s="13" t="s">
        <v>1</v>
      </c>
      <c r="N95" s="13" t="s">
        <v>114</v>
      </c>
      <c r="O95" s="14" t="s">
        <v>114</v>
      </c>
      <c r="P95" s="24">
        <f>10000</f>
        <v>10000</v>
      </c>
      <c r="Q95" s="24"/>
      <c r="R95" s="26">
        <f>10000</f>
        <v>10000</v>
      </c>
      <c r="S95" s="26"/>
    </row>
    <row r="96" spans="1:19" s="1" customFormat="1" ht="13.5" customHeight="1">
      <c r="A96" s="22" t="s">
        <v>200</v>
      </c>
      <c r="B96" s="22"/>
      <c r="C96" s="22"/>
      <c r="D96" s="22"/>
      <c r="E96" s="22"/>
      <c r="F96" s="23" t="s">
        <v>97</v>
      </c>
      <c r="G96" s="23"/>
      <c r="H96" s="23"/>
      <c r="I96" s="24">
        <f>280000</f>
        <v>280000</v>
      </c>
      <c r="J96" s="24"/>
      <c r="K96" s="25">
        <f>280000</f>
        <v>280000</v>
      </c>
      <c r="L96" s="25"/>
      <c r="M96" s="12">
        <f>265000</f>
        <v>265000</v>
      </c>
      <c r="N96" s="13" t="s">
        <v>201</v>
      </c>
      <c r="O96" s="14" t="s">
        <v>201</v>
      </c>
      <c r="P96" s="24">
        <f>15000</f>
        <v>15000</v>
      </c>
      <c r="Q96" s="24"/>
      <c r="R96" s="26">
        <f>15000</f>
        <v>15000</v>
      </c>
      <c r="S96" s="26"/>
    </row>
    <row r="97" spans="1:19" s="1" customFormat="1" ht="24" customHeight="1">
      <c r="A97" s="22" t="s">
        <v>202</v>
      </c>
      <c r="B97" s="22"/>
      <c r="C97" s="22"/>
      <c r="D97" s="22"/>
      <c r="E97" s="22"/>
      <c r="F97" s="23" t="s">
        <v>100</v>
      </c>
      <c r="G97" s="23"/>
      <c r="H97" s="23"/>
      <c r="I97" s="24">
        <f>115000</f>
        <v>115000</v>
      </c>
      <c r="J97" s="24"/>
      <c r="K97" s="25">
        <f>115000</f>
        <v>115000</v>
      </c>
      <c r="L97" s="25"/>
      <c r="M97" s="12">
        <f>100000</f>
        <v>100000</v>
      </c>
      <c r="N97" s="13" t="s">
        <v>203</v>
      </c>
      <c r="O97" s="14" t="s">
        <v>203</v>
      </c>
      <c r="P97" s="24">
        <f>15000</f>
        <v>15000</v>
      </c>
      <c r="Q97" s="24"/>
      <c r="R97" s="26">
        <f>15000</f>
        <v>15000</v>
      </c>
      <c r="S97" s="26"/>
    </row>
    <row r="98" spans="1:19" s="1" customFormat="1" ht="45" customHeight="1">
      <c r="A98" s="22" t="s">
        <v>204</v>
      </c>
      <c r="B98" s="22"/>
      <c r="C98" s="22"/>
      <c r="D98" s="22"/>
      <c r="E98" s="22"/>
      <c r="F98" s="23" t="s">
        <v>205</v>
      </c>
      <c r="G98" s="23"/>
      <c r="H98" s="23"/>
      <c r="I98" s="24">
        <f>165000</f>
        <v>165000</v>
      </c>
      <c r="J98" s="24"/>
      <c r="K98" s="25">
        <f>165000</f>
        <v>165000</v>
      </c>
      <c r="L98" s="25"/>
      <c r="M98" s="12">
        <f>165000</f>
        <v>165000</v>
      </c>
      <c r="N98" s="13" t="s">
        <v>54</v>
      </c>
      <c r="O98" s="14" t="s">
        <v>54</v>
      </c>
      <c r="P98" s="27" t="s">
        <v>1</v>
      </c>
      <c r="Q98" s="27"/>
      <c r="R98" s="28" t="s">
        <v>1</v>
      </c>
      <c r="S98" s="28"/>
    </row>
    <row r="99" spans="1:19" s="1" customFormat="1" ht="66" customHeight="1">
      <c r="A99" s="22" t="s">
        <v>206</v>
      </c>
      <c r="B99" s="22"/>
      <c r="C99" s="22"/>
      <c r="D99" s="22"/>
      <c r="E99" s="22"/>
      <c r="F99" s="23" t="s">
        <v>90</v>
      </c>
      <c r="G99" s="23"/>
      <c r="H99" s="23"/>
      <c r="I99" s="24">
        <f>2346256.19</f>
        <v>2346256.19</v>
      </c>
      <c r="J99" s="24"/>
      <c r="K99" s="25">
        <f>2346256.19</f>
        <v>2346256.19</v>
      </c>
      <c r="L99" s="25"/>
      <c r="M99" s="12">
        <f>2150734.86</f>
        <v>2150734.86</v>
      </c>
      <c r="N99" s="13" t="s">
        <v>207</v>
      </c>
      <c r="O99" s="14" t="s">
        <v>207</v>
      </c>
      <c r="P99" s="24">
        <f>195521.33</f>
        <v>195521.33</v>
      </c>
      <c r="Q99" s="24"/>
      <c r="R99" s="26">
        <f>195521.33</f>
        <v>195521.33</v>
      </c>
      <c r="S99" s="26"/>
    </row>
    <row r="100" spans="1:19" s="1" customFormat="1" ht="13.5" customHeight="1">
      <c r="A100" s="22" t="s">
        <v>208</v>
      </c>
      <c r="B100" s="22"/>
      <c r="C100" s="22"/>
      <c r="D100" s="22"/>
      <c r="E100" s="22"/>
      <c r="F100" s="23" t="s">
        <v>92</v>
      </c>
      <c r="G100" s="23"/>
      <c r="H100" s="23"/>
      <c r="I100" s="24">
        <f>2346256.19</f>
        <v>2346256.19</v>
      </c>
      <c r="J100" s="24"/>
      <c r="K100" s="25">
        <f>2346256.19</f>
        <v>2346256.19</v>
      </c>
      <c r="L100" s="25"/>
      <c r="M100" s="12">
        <f>2150734.86</f>
        <v>2150734.86</v>
      </c>
      <c r="N100" s="13" t="s">
        <v>207</v>
      </c>
      <c r="O100" s="14" t="s">
        <v>207</v>
      </c>
      <c r="P100" s="24">
        <f>195521.33</f>
        <v>195521.33</v>
      </c>
      <c r="Q100" s="24"/>
      <c r="R100" s="26">
        <f>195521.33</f>
        <v>195521.33</v>
      </c>
      <c r="S100" s="26"/>
    </row>
    <row r="101" spans="1:19" s="1" customFormat="1" ht="13.5" customHeight="1">
      <c r="A101" s="22" t="s">
        <v>209</v>
      </c>
      <c r="B101" s="22"/>
      <c r="C101" s="22"/>
      <c r="D101" s="22"/>
      <c r="E101" s="22"/>
      <c r="F101" s="23" t="s">
        <v>97</v>
      </c>
      <c r="G101" s="23"/>
      <c r="H101" s="23"/>
      <c r="I101" s="24">
        <f>166401.15</f>
        <v>166401.15</v>
      </c>
      <c r="J101" s="24"/>
      <c r="K101" s="25">
        <f>166401.15</f>
        <v>166401.15</v>
      </c>
      <c r="L101" s="25"/>
      <c r="M101" s="13" t="s">
        <v>1</v>
      </c>
      <c r="N101" s="13" t="s">
        <v>114</v>
      </c>
      <c r="O101" s="14" t="s">
        <v>114</v>
      </c>
      <c r="P101" s="24">
        <f>166401.15</f>
        <v>166401.15</v>
      </c>
      <c r="Q101" s="24"/>
      <c r="R101" s="26">
        <f>166401.15</f>
        <v>166401.15</v>
      </c>
      <c r="S101" s="26"/>
    </row>
    <row r="102" spans="1:19" s="1" customFormat="1" ht="24" customHeight="1">
      <c r="A102" s="22" t="s">
        <v>210</v>
      </c>
      <c r="B102" s="22"/>
      <c r="C102" s="22"/>
      <c r="D102" s="22"/>
      <c r="E102" s="22"/>
      <c r="F102" s="23" t="s">
        <v>100</v>
      </c>
      <c r="G102" s="23"/>
      <c r="H102" s="23"/>
      <c r="I102" s="24">
        <f>166401.15</f>
        <v>166401.15</v>
      </c>
      <c r="J102" s="24"/>
      <c r="K102" s="25">
        <f>166401.15</f>
        <v>166401.15</v>
      </c>
      <c r="L102" s="25"/>
      <c r="M102" s="13" t="s">
        <v>1</v>
      </c>
      <c r="N102" s="13" t="s">
        <v>114</v>
      </c>
      <c r="O102" s="14" t="s">
        <v>114</v>
      </c>
      <c r="P102" s="24">
        <f>166401.15</f>
        <v>166401.15</v>
      </c>
      <c r="Q102" s="24"/>
      <c r="R102" s="26">
        <f>166401.15</f>
        <v>166401.15</v>
      </c>
      <c r="S102" s="26"/>
    </row>
    <row r="103" spans="1:19" s="1" customFormat="1" ht="13.5" customHeight="1">
      <c r="A103" s="22" t="s">
        <v>211</v>
      </c>
      <c r="B103" s="22"/>
      <c r="C103" s="22"/>
      <c r="D103" s="22"/>
      <c r="E103" s="22"/>
      <c r="F103" s="23" t="s">
        <v>212</v>
      </c>
      <c r="G103" s="23"/>
      <c r="H103" s="23"/>
      <c r="I103" s="24">
        <f>2593542.16</f>
        <v>2593542.16</v>
      </c>
      <c r="J103" s="24"/>
      <c r="K103" s="25">
        <f>2593542.16</f>
        <v>2593542.16</v>
      </c>
      <c r="L103" s="25"/>
      <c r="M103" s="12">
        <f>2309265.29</f>
        <v>2309265.29</v>
      </c>
      <c r="N103" s="13" t="s">
        <v>213</v>
      </c>
      <c r="O103" s="14" t="s">
        <v>213</v>
      </c>
      <c r="P103" s="24">
        <f>284276.87</f>
        <v>284276.87</v>
      </c>
      <c r="Q103" s="24"/>
      <c r="R103" s="26">
        <f>284276.87</f>
        <v>284276.87</v>
      </c>
      <c r="S103" s="26"/>
    </row>
    <row r="104" spans="1:19" s="1" customFormat="1" ht="13.5" customHeight="1">
      <c r="A104" s="22" t="s">
        <v>214</v>
      </c>
      <c r="B104" s="22"/>
      <c r="C104" s="22"/>
      <c r="D104" s="22"/>
      <c r="E104" s="22"/>
      <c r="F104" s="23" t="s">
        <v>97</v>
      </c>
      <c r="G104" s="23"/>
      <c r="H104" s="23"/>
      <c r="I104" s="24">
        <f>1202315.61</f>
        <v>1202315.61</v>
      </c>
      <c r="J104" s="24"/>
      <c r="K104" s="25">
        <f>1202315.61</f>
        <v>1202315.61</v>
      </c>
      <c r="L104" s="25"/>
      <c r="M104" s="12">
        <f>1202315.61</f>
        <v>1202315.61</v>
      </c>
      <c r="N104" s="13" t="s">
        <v>54</v>
      </c>
      <c r="O104" s="14" t="s">
        <v>54</v>
      </c>
      <c r="P104" s="27" t="s">
        <v>1</v>
      </c>
      <c r="Q104" s="27"/>
      <c r="R104" s="28" t="s">
        <v>1</v>
      </c>
      <c r="S104" s="28"/>
    </row>
    <row r="105" spans="1:19" s="1" customFormat="1" ht="24" customHeight="1">
      <c r="A105" s="22" t="s">
        <v>215</v>
      </c>
      <c r="B105" s="22"/>
      <c r="C105" s="22"/>
      <c r="D105" s="22"/>
      <c r="E105" s="22"/>
      <c r="F105" s="23" t="s">
        <v>100</v>
      </c>
      <c r="G105" s="23"/>
      <c r="H105" s="23"/>
      <c r="I105" s="24">
        <f>1202315.61</f>
        <v>1202315.61</v>
      </c>
      <c r="J105" s="24"/>
      <c r="K105" s="25">
        <f>1202315.61</f>
        <v>1202315.61</v>
      </c>
      <c r="L105" s="25"/>
      <c r="M105" s="12">
        <f>1202315.61</f>
        <v>1202315.61</v>
      </c>
      <c r="N105" s="13" t="s">
        <v>54</v>
      </c>
      <c r="O105" s="14" t="s">
        <v>54</v>
      </c>
      <c r="P105" s="27" t="s">
        <v>1</v>
      </c>
      <c r="Q105" s="27"/>
      <c r="R105" s="28" t="s">
        <v>1</v>
      </c>
      <c r="S105" s="28"/>
    </row>
    <row r="106" spans="1:19" s="1" customFormat="1" ht="13.5" customHeight="1">
      <c r="A106" s="22" t="s">
        <v>216</v>
      </c>
      <c r="B106" s="22"/>
      <c r="C106" s="22"/>
      <c r="D106" s="22"/>
      <c r="E106" s="22"/>
      <c r="F106" s="23" t="s">
        <v>97</v>
      </c>
      <c r="G106" s="23"/>
      <c r="H106" s="23"/>
      <c r="I106" s="24">
        <f>831226.55</f>
        <v>831226.55</v>
      </c>
      <c r="J106" s="24"/>
      <c r="K106" s="25">
        <f>831226.55</f>
        <v>831226.55</v>
      </c>
      <c r="L106" s="25"/>
      <c r="M106" s="12">
        <f>691226.74</f>
        <v>691226.74</v>
      </c>
      <c r="N106" s="13" t="s">
        <v>217</v>
      </c>
      <c r="O106" s="14" t="s">
        <v>217</v>
      </c>
      <c r="P106" s="24">
        <f>139999.81</f>
        <v>139999.81</v>
      </c>
      <c r="Q106" s="24"/>
      <c r="R106" s="26">
        <f>139999.81</f>
        <v>139999.81</v>
      </c>
      <c r="S106" s="26"/>
    </row>
    <row r="107" spans="1:19" s="1" customFormat="1" ht="24" customHeight="1">
      <c r="A107" s="22" t="s">
        <v>218</v>
      </c>
      <c r="B107" s="22"/>
      <c r="C107" s="22"/>
      <c r="D107" s="22"/>
      <c r="E107" s="22"/>
      <c r="F107" s="23" t="s">
        <v>100</v>
      </c>
      <c r="G107" s="23"/>
      <c r="H107" s="23"/>
      <c r="I107" s="24">
        <f>831226.55</f>
        <v>831226.55</v>
      </c>
      <c r="J107" s="24"/>
      <c r="K107" s="25">
        <f>831226.55</f>
        <v>831226.55</v>
      </c>
      <c r="L107" s="25"/>
      <c r="M107" s="12">
        <f>691226.74</f>
        <v>691226.74</v>
      </c>
      <c r="N107" s="13" t="s">
        <v>217</v>
      </c>
      <c r="O107" s="14" t="s">
        <v>217</v>
      </c>
      <c r="P107" s="24">
        <f>139999.81</f>
        <v>139999.81</v>
      </c>
      <c r="Q107" s="24"/>
      <c r="R107" s="26">
        <f>139999.81</f>
        <v>139999.81</v>
      </c>
      <c r="S107" s="26"/>
    </row>
    <row r="108" spans="1:19" s="1" customFormat="1" ht="13.5" customHeight="1">
      <c r="A108" s="22" t="s">
        <v>219</v>
      </c>
      <c r="B108" s="22"/>
      <c r="C108" s="22"/>
      <c r="D108" s="22"/>
      <c r="E108" s="22"/>
      <c r="F108" s="23" t="s">
        <v>97</v>
      </c>
      <c r="G108" s="23"/>
      <c r="H108" s="23"/>
      <c r="I108" s="24">
        <f>560000</f>
        <v>560000</v>
      </c>
      <c r="J108" s="24"/>
      <c r="K108" s="25">
        <f>560000</f>
        <v>560000</v>
      </c>
      <c r="L108" s="25"/>
      <c r="M108" s="12">
        <f>415722.94</f>
        <v>415722.94</v>
      </c>
      <c r="N108" s="13" t="s">
        <v>220</v>
      </c>
      <c r="O108" s="14" t="s">
        <v>220</v>
      </c>
      <c r="P108" s="24">
        <f>144277.06</f>
        <v>144277.06</v>
      </c>
      <c r="Q108" s="24"/>
      <c r="R108" s="26">
        <f>144277.06</f>
        <v>144277.06</v>
      </c>
      <c r="S108" s="26"/>
    </row>
    <row r="109" spans="1:19" s="1" customFormat="1" ht="24" customHeight="1">
      <c r="A109" s="22" t="s">
        <v>221</v>
      </c>
      <c r="B109" s="22"/>
      <c r="C109" s="22"/>
      <c r="D109" s="22"/>
      <c r="E109" s="22"/>
      <c r="F109" s="23" t="s">
        <v>100</v>
      </c>
      <c r="G109" s="23"/>
      <c r="H109" s="23"/>
      <c r="I109" s="24">
        <f>560000</f>
        <v>560000</v>
      </c>
      <c r="J109" s="24"/>
      <c r="K109" s="25">
        <f>560000</f>
        <v>560000</v>
      </c>
      <c r="L109" s="25"/>
      <c r="M109" s="12">
        <f>415722.94</f>
        <v>415722.94</v>
      </c>
      <c r="N109" s="13" t="s">
        <v>220</v>
      </c>
      <c r="O109" s="14" t="s">
        <v>220</v>
      </c>
      <c r="P109" s="24">
        <f>144277.06</f>
        <v>144277.06</v>
      </c>
      <c r="Q109" s="24"/>
      <c r="R109" s="26">
        <f>144277.06</f>
        <v>144277.06</v>
      </c>
      <c r="S109" s="26"/>
    </row>
    <row r="110" spans="1:19" s="1" customFormat="1" ht="13.5" customHeight="1">
      <c r="A110" s="22" t="s">
        <v>222</v>
      </c>
      <c r="B110" s="22"/>
      <c r="C110" s="22"/>
      <c r="D110" s="22"/>
      <c r="E110" s="22"/>
      <c r="F110" s="23" t="s">
        <v>223</v>
      </c>
      <c r="G110" s="23"/>
      <c r="H110" s="23"/>
      <c r="I110" s="24">
        <f>9034762.81</f>
        <v>9034762.81</v>
      </c>
      <c r="J110" s="24"/>
      <c r="K110" s="25">
        <f>9034762.81</f>
        <v>9034762.81</v>
      </c>
      <c r="L110" s="25"/>
      <c r="M110" s="12">
        <f>5991688.28</f>
        <v>5991688.28</v>
      </c>
      <c r="N110" s="13" t="s">
        <v>224</v>
      </c>
      <c r="O110" s="14" t="s">
        <v>224</v>
      </c>
      <c r="P110" s="24">
        <f>3043074.53</f>
        <v>3043074.53</v>
      </c>
      <c r="Q110" s="24"/>
      <c r="R110" s="26">
        <f>3043074.53</f>
        <v>3043074.53</v>
      </c>
      <c r="S110" s="26"/>
    </row>
    <row r="111" spans="1:19" s="1" customFormat="1" ht="96.75" customHeight="1">
      <c r="A111" s="22" t="s">
        <v>225</v>
      </c>
      <c r="B111" s="22"/>
      <c r="C111" s="22"/>
      <c r="D111" s="22"/>
      <c r="E111" s="22"/>
      <c r="F111" s="23" t="s">
        <v>226</v>
      </c>
      <c r="G111" s="23"/>
      <c r="H111" s="23"/>
      <c r="I111" s="24">
        <f>2229424.67</f>
        <v>2229424.67</v>
      </c>
      <c r="J111" s="24"/>
      <c r="K111" s="25">
        <f>2229424.67</f>
        <v>2229424.67</v>
      </c>
      <c r="L111" s="25"/>
      <c r="M111" s="13" t="s">
        <v>1</v>
      </c>
      <c r="N111" s="13" t="s">
        <v>114</v>
      </c>
      <c r="O111" s="14" t="s">
        <v>114</v>
      </c>
      <c r="P111" s="24">
        <f>2229424.67</f>
        <v>2229424.67</v>
      </c>
      <c r="Q111" s="24"/>
      <c r="R111" s="26">
        <f>2229424.67</f>
        <v>2229424.67</v>
      </c>
      <c r="S111" s="26"/>
    </row>
    <row r="112" spans="1:19" s="1" customFormat="1" ht="54.75" customHeight="1">
      <c r="A112" s="22" t="s">
        <v>227</v>
      </c>
      <c r="B112" s="22"/>
      <c r="C112" s="22"/>
      <c r="D112" s="22"/>
      <c r="E112" s="22"/>
      <c r="F112" s="23" t="s">
        <v>228</v>
      </c>
      <c r="G112" s="23"/>
      <c r="H112" s="23"/>
      <c r="I112" s="24">
        <f>2229424.67</f>
        <v>2229424.67</v>
      </c>
      <c r="J112" s="24"/>
      <c r="K112" s="25">
        <f>2229424.67</f>
        <v>2229424.67</v>
      </c>
      <c r="L112" s="25"/>
      <c r="M112" s="13" t="s">
        <v>1</v>
      </c>
      <c r="N112" s="13" t="s">
        <v>114</v>
      </c>
      <c r="O112" s="14" t="s">
        <v>114</v>
      </c>
      <c r="P112" s="24">
        <f>2229424.67</f>
        <v>2229424.67</v>
      </c>
      <c r="Q112" s="24"/>
      <c r="R112" s="26">
        <f>2229424.67</f>
        <v>2229424.67</v>
      </c>
      <c r="S112" s="26"/>
    </row>
    <row r="113" spans="1:19" s="1" customFormat="1" ht="13.5" customHeight="1">
      <c r="A113" s="22" t="s">
        <v>229</v>
      </c>
      <c r="B113" s="22"/>
      <c r="C113" s="22"/>
      <c r="D113" s="22"/>
      <c r="E113" s="22"/>
      <c r="F113" s="23" t="s">
        <v>97</v>
      </c>
      <c r="G113" s="23"/>
      <c r="H113" s="23"/>
      <c r="I113" s="24">
        <f>6805338.14</f>
        <v>6805338.14</v>
      </c>
      <c r="J113" s="24"/>
      <c r="K113" s="25">
        <f>6805338.14</f>
        <v>6805338.14</v>
      </c>
      <c r="L113" s="25"/>
      <c r="M113" s="12">
        <f>5991688.28</f>
        <v>5991688.28</v>
      </c>
      <c r="N113" s="13" t="s">
        <v>230</v>
      </c>
      <c r="O113" s="14" t="s">
        <v>230</v>
      </c>
      <c r="P113" s="24">
        <f>813649.86</f>
        <v>813649.86</v>
      </c>
      <c r="Q113" s="24"/>
      <c r="R113" s="26">
        <f>813649.86</f>
        <v>813649.86</v>
      </c>
      <c r="S113" s="26"/>
    </row>
    <row r="114" spans="1:19" s="1" customFormat="1" ht="24" customHeight="1">
      <c r="A114" s="22" t="s">
        <v>231</v>
      </c>
      <c r="B114" s="22"/>
      <c r="C114" s="22"/>
      <c r="D114" s="22"/>
      <c r="E114" s="22"/>
      <c r="F114" s="23" t="s">
        <v>100</v>
      </c>
      <c r="G114" s="23"/>
      <c r="H114" s="23"/>
      <c r="I114" s="24">
        <f>100000</f>
        <v>100000</v>
      </c>
      <c r="J114" s="24"/>
      <c r="K114" s="25">
        <f>100000</f>
        <v>100000</v>
      </c>
      <c r="L114" s="25"/>
      <c r="M114" s="12">
        <f>100000</f>
        <v>100000</v>
      </c>
      <c r="N114" s="13" t="s">
        <v>54</v>
      </c>
      <c r="O114" s="14" t="s">
        <v>54</v>
      </c>
      <c r="P114" s="27" t="s">
        <v>1</v>
      </c>
      <c r="Q114" s="27"/>
      <c r="R114" s="28" t="s">
        <v>1</v>
      </c>
      <c r="S114" s="28"/>
    </row>
    <row r="115" spans="1:19" s="1" customFormat="1" ht="54.75" customHeight="1">
      <c r="A115" s="22" t="s">
        <v>232</v>
      </c>
      <c r="B115" s="22"/>
      <c r="C115" s="22"/>
      <c r="D115" s="22"/>
      <c r="E115" s="22"/>
      <c r="F115" s="23" t="s">
        <v>228</v>
      </c>
      <c r="G115" s="23"/>
      <c r="H115" s="23"/>
      <c r="I115" s="24">
        <f>6705338.14</f>
        <v>6705338.14</v>
      </c>
      <c r="J115" s="24"/>
      <c r="K115" s="25">
        <f>6705338.14</f>
        <v>6705338.14</v>
      </c>
      <c r="L115" s="25"/>
      <c r="M115" s="12">
        <f>5891688.28</f>
        <v>5891688.28</v>
      </c>
      <c r="N115" s="13" t="s">
        <v>233</v>
      </c>
      <c r="O115" s="14" t="s">
        <v>233</v>
      </c>
      <c r="P115" s="24">
        <f>813649.86</f>
        <v>813649.86</v>
      </c>
      <c r="Q115" s="24"/>
      <c r="R115" s="26">
        <f>813649.86</f>
        <v>813649.86</v>
      </c>
      <c r="S115" s="26"/>
    </row>
    <row r="116" spans="1:19" s="1" customFormat="1" ht="13.5" customHeight="1">
      <c r="A116" s="22" t="s">
        <v>234</v>
      </c>
      <c r="B116" s="22"/>
      <c r="C116" s="22"/>
      <c r="D116" s="22"/>
      <c r="E116" s="22"/>
      <c r="F116" s="23" t="s">
        <v>235</v>
      </c>
      <c r="G116" s="23"/>
      <c r="H116" s="23"/>
      <c r="I116" s="24">
        <f>42261497.83</f>
        <v>42261497.83</v>
      </c>
      <c r="J116" s="24"/>
      <c r="K116" s="25">
        <f>42261497.83</f>
        <v>42261497.83</v>
      </c>
      <c r="L116" s="25"/>
      <c r="M116" s="12">
        <f>28559236.22</f>
        <v>28559236.22</v>
      </c>
      <c r="N116" s="13" t="s">
        <v>236</v>
      </c>
      <c r="O116" s="14" t="s">
        <v>236</v>
      </c>
      <c r="P116" s="24">
        <f>13702261.61</f>
        <v>13702261.61</v>
      </c>
      <c r="Q116" s="24"/>
      <c r="R116" s="26">
        <f>13702261.61</f>
        <v>13702261.61</v>
      </c>
      <c r="S116" s="26"/>
    </row>
    <row r="117" spans="1:19" s="1" customFormat="1" ht="96.75" customHeight="1">
      <c r="A117" s="22" t="s">
        <v>237</v>
      </c>
      <c r="B117" s="22"/>
      <c r="C117" s="22"/>
      <c r="D117" s="22"/>
      <c r="E117" s="22"/>
      <c r="F117" s="23" t="s">
        <v>238</v>
      </c>
      <c r="G117" s="23"/>
      <c r="H117" s="23"/>
      <c r="I117" s="24">
        <f>5610400</f>
        <v>5610400</v>
      </c>
      <c r="J117" s="24"/>
      <c r="K117" s="25">
        <f>5610400</f>
        <v>5610400</v>
      </c>
      <c r="L117" s="25"/>
      <c r="M117" s="12">
        <f>2006209.36</f>
        <v>2006209.36</v>
      </c>
      <c r="N117" s="13" t="s">
        <v>239</v>
      </c>
      <c r="O117" s="14" t="s">
        <v>239</v>
      </c>
      <c r="P117" s="24">
        <f>3604190.64</f>
        <v>3604190.64</v>
      </c>
      <c r="Q117" s="24"/>
      <c r="R117" s="26">
        <f>3604190.64</f>
        <v>3604190.64</v>
      </c>
      <c r="S117" s="26"/>
    </row>
    <row r="118" spans="1:19" s="1" customFormat="1" ht="24" customHeight="1">
      <c r="A118" s="22" t="s">
        <v>240</v>
      </c>
      <c r="B118" s="22"/>
      <c r="C118" s="22"/>
      <c r="D118" s="22"/>
      <c r="E118" s="22"/>
      <c r="F118" s="23" t="s">
        <v>100</v>
      </c>
      <c r="G118" s="23"/>
      <c r="H118" s="23"/>
      <c r="I118" s="24">
        <f>5610400</f>
        <v>5610400</v>
      </c>
      <c r="J118" s="24"/>
      <c r="K118" s="25">
        <f>5610400</f>
        <v>5610400</v>
      </c>
      <c r="L118" s="25"/>
      <c r="M118" s="12">
        <f>2006209.36</f>
        <v>2006209.36</v>
      </c>
      <c r="N118" s="13" t="s">
        <v>239</v>
      </c>
      <c r="O118" s="14" t="s">
        <v>239</v>
      </c>
      <c r="P118" s="24">
        <f>3604190.64</f>
        <v>3604190.64</v>
      </c>
      <c r="Q118" s="24"/>
      <c r="R118" s="26">
        <f>3604190.64</f>
        <v>3604190.64</v>
      </c>
      <c r="S118" s="26"/>
    </row>
    <row r="119" spans="1:19" s="1" customFormat="1" ht="33.75" customHeight="1">
      <c r="A119" s="22" t="s">
        <v>241</v>
      </c>
      <c r="B119" s="22"/>
      <c r="C119" s="22"/>
      <c r="D119" s="22"/>
      <c r="E119" s="22"/>
      <c r="F119" s="23" t="s">
        <v>242</v>
      </c>
      <c r="G119" s="23"/>
      <c r="H119" s="23"/>
      <c r="I119" s="24">
        <f>400000</f>
        <v>400000</v>
      </c>
      <c r="J119" s="24"/>
      <c r="K119" s="25">
        <f>400000</f>
        <v>400000</v>
      </c>
      <c r="L119" s="25"/>
      <c r="M119" s="12">
        <f>400000</f>
        <v>400000</v>
      </c>
      <c r="N119" s="13" t="s">
        <v>54</v>
      </c>
      <c r="O119" s="14" t="s">
        <v>54</v>
      </c>
      <c r="P119" s="27" t="s">
        <v>1</v>
      </c>
      <c r="Q119" s="27"/>
      <c r="R119" s="28" t="s">
        <v>1</v>
      </c>
      <c r="S119" s="28"/>
    </row>
    <row r="120" spans="1:19" s="1" customFormat="1" ht="24" customHeight="1">
      <c r="A120" s="22" t="s">
        <v>243</v>
      </c>
      <c r="B120" s="22"/>
      <c r="C120" s="22"/>
      <c r="D120" s="22"/>
      <c r="E120" s="22"/>
      <c r="F120" s="23" t="s">
        <v>100</v>
      </c>
      <c r="G120" s="23"/>
      <c r="H120" s="23"/>
      <c r="I120" s="24">
        <f>400000</f>
        <v>400000</v>
      </c>
      <c r="J120" s="24"/>
      <c r="K120" s="25">
        <f>400000</f>
        <v>400000</v>
      </c>
      <c r="L120" s="25"/>
      <c r="M120" s="12">
        <f>400000</f>
        <v>400000</v>
      </c>
      <c r="N120" s="13" t="s">
        <v>54</v>
      </c>
      <c r="O120" s="14" t="s">
        <v>54</v>
      </c>
      <c r="P120" s="27" t="s">
        <v>1</v>
      </c>
      <c r="Q120" s="27"/>
      <c r="R120" s="28" t="s">
        <v>1</v>
      </c>
      <c r="S120" s="28"/>
    </row>
    <row r="121" spans="1:19" s="1" customFormat="1" ht="13.5" customHeight="1">
      <c r="A121" s="22" t="s">
        <v>244</v>
      </c>
      <c r="B121" s="22"/>
      <c r="C121" s="22"/>
      <c r="D121" s="22"/>
      <c r="E121" s="22"/>
      <c r="F121" s="23" t="s">
        <v>97</v>
      </c>
      <c r="G121" s="23"/>
      <c r="H121" s="23"/>
      <c r="I121" s="24">
        <f>9450409.24</f>
        <v>9450409.24</v>
      </c>
      <c r="J121" s="24"/>
      <c r="K121" s="25">
        <f>9450409.24</f>
        <v>9450409.24</v>
      </c>
      <c r="L121" s="25"/>
      <c r="M121" s="12">
        <f>6907072.25</f>
        <v>6907072.25</v>
      </c>
      <c r="N121" s="13" t="s">
        <v>245</v>
      </c>
      <c r="O121" s="14" t="s">
        <v>245</v>
      </c>
      <c r="P121" s="24">
        <f>2543336.99</f>
        <v>2543336.99</v>
      </c>
      <c r="Q121" s="24"/>
      <c r="R121" s="26">
        <f>2543336.99</f>
        <v>2543336.99</v>
      </c>
      <c r="S121" s="26"/>
    </row>
    <row r="122" spans="1:19" s="1" customFormat="1" ht="24" customHeight="1">
      <c r="A122" s="22" t="s">
        <v>246</v>
      </c>
      <c r="B122" s="22"/>
      <c r="C122" s="22"/>
      <c r="D122" s="22"/>
      <c r="E122" s="22"/>
      <c r="F122" s="23" t="s">
        <v>100</v>
      </c>
      <c r="G122" s="23"/>
      <c r="H122" s="23"/>
      <c r="I122" s="24">
        <f>9450409.24</f>
        <v>9450409.24</v>
      </c>
      <c r="J122" s="24"/>
      <c r="K122" s="25">
        <f>9450409.24</f>
        <v>9450409.24</v>
      </c>
      <c r="L122" s="25"/>
      <c r="M122" s="12">
        <f>6907072.25</f>
        <v>6907072.25</v>
      </c>
      <c r="N122" s="13" t="s">
        <v>245</v>
      </c>
      <c r="O122" s="14" t="s">
        <v>245</v>
      </c>
      <c r="P122" s="24">
        <f>2543336.99</f>
        <v>2543336.99</v>
      </c>
      <c r="Q122" s="24"/>
      <c r="R122" s="26">
        <f>2543336.99</f>
        <v>2543336.99</v>
      </c>
      <c r="S122" s="26"/>
    </row>
    <row r="123" spans="1:19" s="1" customFormat="1" ht="45" customHeight="1">
      <c r="A123" s="22" t="s">
        <v>247</v>
      </c>
      <c r="B123" s="22"/>
      <c r="C123" s="22"/>
      <c r="D123" s="22"/>
      <c r="E123" s="22"/>
      <c r="F123" s="23" t="s">
        <v>248</v>
      </c>
      <c r="G123" s="23"/>
      <c r="H123" s="23"/>
      <c r="I123" s="24">
        <f>2600000</f>
        <v>2600000</v>
      </c>
      <c r="J123" s="24"/>
      <c r="K123" s="25">
        <f>2600000</f>
        <v>2600000</v>
      </c>
      <c r="L123" s="25"/>
      <c r="M123" s="13" t="s">
        <v>1</v>
      </c>
      <c r="N123" s="13" t="s">
        <v>114</v>
      </c>
      <c r="O123" s="14" t="s">
        <v>114</v>
      </c>
      <c r="P123" s="24">
        <f>2600000</f>
        <v>2600000</v>
      </c>
      <c r="Q123" s="24"/>
      <c r="R123" s="26">
        <f>2600000</f>
        <v>2600000</v>
      </c>
      <c r="S123" s="26"/>
    </row>
    <row r="124" spans="1:19" s="1" customFormat="1" ht="24" customHeight="1">
      <c r="A124" s="22" t="s">
        <v>249</v>
      </c>
      <c r="B124" s="22"/>
      <c r="C124" s="22"/>
      <c r="D124" s="22"/>
      <c r="E124" s="22"/>
      <c r="F124" s="23" t="s">
        <v>100</v>
      </c>
      <c r="G124" s="23"/>
      <c r="H124" s="23"/>
      <c r="I124" s="24">
        <f>2600000</f>
        <v>2600000</v>
      </c>
      <c r="J124" s="24"/>
      <c r="K124" s="25">
        <f>2600000</f>
        <v>2600000</v>
      </c>
      <c r="L124" s="25"/>
      <c r="M124" s="13" t="s">
        <v>1</v>
      </c>
      <c r="N124" s="13" t="s">
        <v>114</v>
      </c>
      <c r="O124" s="14" t="s">
        <v>114</v>
      </c>
      <c r="P124" s="24">
        <f>2600000</f>
        <v>2600000</v>
      </c>
      <c r="Q124" s="24"/>
      <c r="R124" s="26">
        <f>2600000</f>
        <v>2600000</v>
      </c>
      <c r="S124" s="26"/>
    </row>
    <row r="125" spans="1:19" s="1" customFormat="1" ht="13.5" customHeight="1">
      <c r="A125" s="22" t="s">
        <v>250</v>
      </c>
      <c r="B125" s="22"/>
      <c r="C125" s="22"/>
      <c r="D125" s="22"/>
      <c r="E125" s="22"/>
      <c r="F125" s="23" t="s">
        <v>97</v>
      </c>
      <c r="G125" s="23"/>
      <c r="H125" s="23"/>
      <c r="I125" s="24">
        <f>5246888.31</f>
        <v>5246888.31</v>
      </c>
      <c r="J125" s="24"/>
      <c r="K125" s="25">
        <f>5246888.31</f>
        <v>5246888.31</v>
      </c>
      <c r="L125" s="25"/>
      <c r="M125" s="12">
        <f>3682312.79</f>
        <v>3682312.79</v>
      </c>
      <c r="N125" s="13" t="s">
        <v>251</v>
      </c>
      <c r="O125" s="14" t="s">
        <v>251</v>
      </c>
      <c r="P125" s="24">
        <f>1564575.52</f>
        <v>1564575.52</v>
      </c>
      <c r="Q125" s="24"/>
      <c r="R125" s="26">
        <f>1564575.52</f>
        <v>1564575.52</v>
      </c>
      <c r="S125" s="26"/>
    </row>
    <row r="126" spans="1:19" s="1" customFormat="1" ht="24" customHeight="1">
      <c r="A126" s="22" t="s">
        <v>252</v>
      </c>
      <c r="B126" s="22"/>
      <c r="C126" s="22"/>
      <c r="D126" s="22"/>
      <c r="E126" s="22"/>
      <c r="F126" s="23" t="s">
        <v>100</v>
      </c>
      <c r="G126" s="23"/>
      <c r="H126" s="23"/>
      <c r="I126" s="24">
        <f>5246888.31</f>
        <v>5246888.31</v>
      </c>
      <c r="J126" s="24"/>
      <c r="K126" s="25">
        <f>5246888.31</f>
        <v>5246888.31</v>
      </c>
      <c r="L126" s="25"/>
      <c r="M126" s="12">
        <f>3682312.79</f>
        <v>3682312.79</v>
      </c>
      <c r="N126" s="13" t="s">
        <v>251</v>
      </c>
      <c r="O126" s="14" t="s">
        <v>251</v>
      </c>
      <c r="P126" s="24">
        <f>1564575.52</f>
        <v>1564575.52</v>
      </c>
      <c r="Q126" s="24"/>
      <c r="R126" s="26">
        <f>1564575.52</f>
        <v>1564575.52</v>
      </c>
      <c r="S126" s="26"/>
    </row>
    <row r="127" spans="1:19" s="1" customFormat="1" ht="13.5" customHeight="1">
      <c r="A127" s="22" t="s">
        <v>253</v>
      </c>
      <c r="B127" s="22"/>
      <c r="C127" s="22"/>
      <c r="D127" s="22"/>
      <c r="E127" s="22"/>
      <c r="F127" s="23" t="s">
        <v>97</v>
      </c>
      <c r="G127" s="23"/>
      <c r="H127" s="23"/>
      <c r="I127" s="24">
        <f>2900966.6</f>
        <v>2900966.6</v>
      </c>
      <c r="J127" s="24"/>
      <c r="K127" s="25">
        <f>2900966.6</f>
        <v>2900966.6</v>
      </c>
      <c r="L127" s="25"/>
      <c r="M127" s="12">
        <f>1786645.15</f>
        <v>1786645.15</v>
      </c>
      <c r="N127" s="13" t="s">
        <v>254</v>
      </c>
      <c r="O127" s="14" t="s">
        <v>254</v>
      </c>
      <c r="P127" s="24">
        <f>1114321.45</f>
        <v>1114321.45</v>
      </c>
      <c r="Q127" s="24"/>
      <c r="R127" s="26">
        <f>1114321.45</f>
        <v>1114321.45</v>
      </c>
      <c r="S127" s="26"/>
    </row>
    <row r="128" spans="1:19" s="1" customFormat="1" ht="24" customHeight="1">
      <c r="A128" s="22" t="s">
        <v>255</v>
      </c>
      <c r="B128" s="22"/>
      <c r="C128" s="22"/>
      <c r="D128" s="22"/>
      <c r="E128" s="22"/>
      <c r="F128" s="23" t="s">
        <v>100</v>
      </c>
      <c r="G128" s="23"/>
      <c r="H128" s="23"/>
      <c r="I128" s="24">
        <f>2900966.6</f>
        <v>2900966.6</v>
      </c>
      <c r="J128" s="24"/>
      <c r="K128" s="25">
        <f>2900966.6</f>
        <v>2900966.6</v>
      </c>
      <c r="L128" s="25"/>
      <c r="M128" s="12">
        <f>1786645.15</f>
        <v>1786645.15</v>
      </c>
      <c r="N128" s="13" t="s">
        <v>254</v>
      </c>
      <c r="O128" s="14" t="s">
        <v>254</v>
      </c>
      <c r="P128" s="24">
        <f>1114321.45</f>
        <v>1114321.45</v>
      </c>
      <c r="Q128" s="24"/>
      <c r="R128" s="26">
        <f>1114321.45</f>
        <v>1114321.45</v>
      </c>
      <c r="S128" s="26"/>
    </row>
    <row r="129" spans="1:19" s="1" customFormat="1" ht="13.5" customHeight="1">
      <c r="A129" s="22" t="s">
        <v>256</v>
      </c>
      <c r="B129" s="22"/>
      <c r="C129" s="22"/>
      <c r="D129" s="22"/>
      <c r="E129" s="22"/>
      <c r="F129" s="23" t="s">
        <v>97</v>
      </c>
      <c r="G129" s="23"/>
      <c r="H129" s="23"/>
      <c r="I129" s="24">
        <f>4539233.94</f>
        <v>4539233.94</v>
      </c>
      <c r="J129" s="24"/>
      <c r="K129" s="25">
        <f>4539233.94</f>
        <v>4539233.94</v>
      </c>
      <c r="L129" s="25"/>
      <c r="M129" s="12">
        <f>2904727.21</f>
        <v>2904727.21</v>
      </c>
      <c r="N129" s="13" t="s">
        <v>257</v>
      </c>
      <c r="O129" s="14" t="s">
        <v>257</v>
      </c>
      <c r="P129" s="24">
        <f>1634506.73</f>
        <v>1634506.73</v>
      </c>
      <c r="Q129" s="24"/>
      <c r="R129" s="26">
        <f>1634506.73</f>
        <v>1634506.73</v>
      </c>
      <c r="S129" s="26"/>
    </row>
    <row r="130" spans="1:19" s="1" customFormat="1" ht="24" customHeight="1">
      <c r="A130" s="22" t="s">
        <v>258</v>
      </c>
      <c r="B130" s="22"/>
      <c r="C130" s="22"/>
      <c r="D130" s="22"/>
      <c r="E130" s="22"/>
      <c r="F130" s="23" t="s">
        <v>100</v>
      </c>
      <c r="G130" s="23"/>
      <c r="H130" s="23"/>
      <c r="I130" s="24">
        <f>1600000</f>
        <v>1600000</v>
      </c>
      <c r="J130" s="24"/>
      <c r="K130" s="25">
        <f>1600000</f>
        <v>1600000</v>
      </c>
      <c r="L130" s="25"/>
      <c r="M130" s="12">
        <f>740327.04</f>
        <v>740327.04</v>
      </c>
      <c r="N130" s="13" t="s">
        <v>259</v>
      </c>
      <c r="O130" s="14" t="s">
        <v>259</v>
      </c>
      <c r="P130" s="24">
        <f>859672.96</f>
        <v>859672.96</v>
      </c>
      <c r="Q130" s="24"/>
      <c r="R130" s="26">
        <f>859672.96</f>
        <v>859672.96</v>
      </c>
      <c r="S130" s="26"/>
    </row>
    <row r="131" spans="1:19" s="1" customFormat="1" ht="13.5" customHeight="1">
      <c r="A131" s="22" t="s">
        <v>260</v>
      </c>
      <c r="B131" s="22"/>
      <c r="C131" s="22"/>
      <c r="D131" s="22"/>
      <c r="E131" s="22"/>
      <c r="F131" s="23" t="s">
        <v>103</v>
      </c>
      <c r="G131" s="23"/>
      <c r="H131" s="23"/>
      <c r="I131" s="24">
        <f>2939233.94</f>
        <v>2939233.94</v>
      </c>
      <c r="J131" s="24"/>
      <c r="K131" s="25">
        <f>2939233.94</f>
        <v>2939233.94</v>
      </c>
      <c r="L131" s="25"/>
      <c r="M131" s="12">
        <f>2164400.17</f>
        <v>2164400.17</v>
      </c>
      <c r="N131" s="13" t="s">
        <v>261</v>
      </c>
      <c r="O131" s="14" t="s">
        <v>261</v>
      </c>
      <c r="P131" s="24">
        <f>774833.77</f>
        <v>774833.77</v>
      </c>
      <c r="Q131" s="24"/>
      <c r="R131" s="26">
        <f>774833.77</f>
        <v>774833.77</v>
      </c>
      <c r="S131" s="26"/>
    </row>
    <row r="132" spans="1:19" s="1" customFormat="1" ht="13.5" customHeight="1">
      <c r="A132" s="22" t="s">
        <v>262</v>
      </c>
      <c r="B132" s="22"/>
      <c r="C132" s="22"/>
      <c r="D132" s="22"/>
      <c r="E132" s="22"/>
      <c r="F132" s="23" t="s">
        <v>97</v>
      </c>
      <c r="G132" s="23"/>
      <c r="H132" s="23"/>
      <c r="I132" s="24">
        <f>275450.85</f>
        <v>275450.85</v>
      </c>
      <c r="J132" s="24"/>
      <c r="K132" s="25">
        <f>275450.85</f>
        <v>275450.85</v>
      </c>
      <c r="L132" s="25"/>
      <c r="M132" s="12">
        <f>275450.85</f>
        <v>275450.85</v>
      </c>
      <c r="N132" s="13" t="s">
        <v>54</v>
      </c>
      <c r="O132" s="14" t="s">
        <v>54</v>
      </c>
      <c r="P132" s="27" t="s">
        <v>1</v>
      </c>
      <c r="Q132" s="27"/>
      <c r="R132" s="28" t="s">
        <v>1</v>
      </c>
      <c r="S132" s="28"/>
    </row>
    <row r="133" spans="1:19" s="1" customFormat="1" ht="24" customHeight="1">
      <c r="A133" s="22" t="s">
        <v>263</v>
      </c>
      <c r="B133" s="22"/>
      <c r="C133" s="22"/>
      <c r="D133" s="22"/>
      <c r="E133" s="22"/>
      <c r="F133" s="23" t="s">
        <v>100</v>
      </c>
      <c r="G133" s="23"/>
      <c r="H133" s="23"/>
      <c r="I133" s="24">
        <f>275450.85</f>
        <v>275450.85</v>
      </c>
      <c r="J133" s="24"/>
      <c r="K133" s="25">
        <f>275450.85</f>
        <v>275450.85</v>
      </c>
      <c r="L133" s="25"/>
      <c r="M133" s="12">
        <f>275450.85</f>
        <v>275450.85</v>
      </c>
      <c r="N133" s="13" t="s">
        <v>54</v>
      </c>
      <c r="O133" s="14" t="s">
        <v>54</v>
      </c>
      <c r="P133" s="27" t="s">
        <v>1</v>
      </c>
      <c r="Q133" s="27"/>
      <c r="R133" s="28" t="s">
        <v>1</v>
      </c>
      <c r="S133" s="28"/>
    </row>
    <row r="134" spans="1:19" s="1" customFormat="1" ht="45" customHeight="1">
      <c r="A134" s="22" t="s">
        <v>264</v>
      </c>
      <c r="B134" s="22"/>
      <c r="C134" s="22"/>
      <c r="D134" s="22"/>
      <c r="E134" s="22"/>
      <c r="F134" s="23" t="s">
        <v>265</v>
      </c>
      <c r="G134" s="23"/>
      <c r="H134" s="23"/>
      <c r="I134" s="24">
        <f>1555092.7</f>
        <v>1555092.7</v>
      </c>
      <c r="J134" s="24"/>
      <c r="K134" s="25">
        <f>1555092.7</f>
        <v>1555092.7</v>
      </c>
      <c r="L134" s="25"/>
      <c r="M134" s="12">
        <f>1301768.92</f>
        <v>1301768.92</v>
      </c>
      <c r="N134" s="13" t="s">
        <v>266</v>
      </c>
      <c r="O134" s="14" t="s">
        <v>266</v>
      </c>
      <c r="P134" s="24">
        <f>253323.78</f>
        <v>253323.78</v>
      </c>
      <c r="Q134" s="24"/>
      <c r="R134" s="26">
        <f>253323.78</f>
        <v>253323.78</v>
      </c>
      <c r="S134" s="26"/>
    </row>
    <row r="135" spans="1:19" s="1" customFormat="1" ht="24" customHeight="1">
      <c r="A135" s="22" t="s">
        <v>267</v>
      </c>
      <c r="B135" s="22"/>
      <c r="C135" s="22"/>
      <c r="D135" s="22"/>
      <c r="E135" s="22"/>
      <c r="F135" s="23" t="s">
        <v>100</v>
      </c>
      <c r="G135" s="23"/>
      <c r="H135" s="23"/>
      <c r="I135" s="24">
        <f>1555092.7</f>
        <v>1555092.7</v>
      </c>
      <c r="J135" s="24"/>
      <c r="K135" s="25">
        <f>1555092.7</f>
        <v>1555092.7</v>
      </c>
      <c r="L135" s="25"/>
      <c r="M135" s="12">
        <f>1301768.92</f>
        <v>1301768.92</v>
      </c>
      <c r="N135" s="13" t="s">
        <v>266</v>
      </c>
      <c r="O135" s="14" t="s">
        <v>266</v>
      </c>
      <c r="P135" s="24">
        <f>253323.78</f>
        <v>253323.78</v>
      </c>
      <c r="Q135" s="24"/>
      <c r="R135" s="26">
        <f>253323.78</f>
        <v>253323.78</v>
      </c>
      <c r="S135" s="26"/>
    </row>
    <row r="136" spans="1:19" s="1" customFormat="1" ht="45" customHeight="1">
      <c r="A136" s="22" t="s">
        <v>268</v>
      </c>
      <c r="B136" s="22"/>
      <c r="C136" s="22"/>
      <c r="D136" s="22"/>
      <c r="E136" s="22"/>
      <c r="F136" s="23" t="s">
        <v>269</v>
      </c>
      <c r="G136" s="23"/>
      <c r="H136" s="23"/>
      <c r="I136" s="24">
        <f>557900.97</f>
        <v>557900.97</v>
      </c>
      <c r="J136" s="24"/>
      <c r="K136" s="25">
        <f>557900.97</f>
        <v>557900.97</v>
      </c>
      <c r="L136" s="25"/>
      <c r="M136" s="12">
        <f>557900.97</f>
        <v>557900.97</v>
      </c>
      <c r="N136" s="13" t="s">
        <v>54</v>
      </c>
      <c r="O136" s="14" t="s">
        <v>54</v>
      </c>
      <c r="P136" s="27" t="s">
        <v>1</v>
      </c>
      <c r="Q136" s="27"/>
      <c r="R136" s="28" t="s">
        <v>1</v>
      </c>
      <c r="S136" s="28"/>
    </row>
    <row r="137" spans="1:19" s="1" customFormat="1" ht="24" customHeight="1">
      <c r="A137" s="22" t="s">
        <v>270</v>
      </c>
      <c r="B137" s="22"/>
      <c r="C137" s="22"/>
      <c r="D137" s="22"/>
      <c r="E137" s="22"/>
      <c r="F137" s="23" t="s">
        <v>100</v>
      </c>
      <c r="G137" s="23"/>
      <c r="H137" s="23"/>
      <c r="I137" s="24">
        <f>557900.97</f>
        <v>557900.97</v>
      </c>
      <c r="J137" s="24"/>
      <c r="K137" s="25">
        <f>557900.97</f>
        <v>557900.97</v>
      </c>
      <c r="L137" s="25"/>
      <c r="M137" s="12">
        <f>557900.97</f>
        <v>557900.97</v>
      </c>
      <c r="N137" s="13" t="s">
        <v>54</v>
      </c>
      <c r="O137" s="14" t="s">
        <v>54</v>
      </c>
      <c r="P137" s="27" t="s">
        <v>1</v>
      </c>
      <c r="Q137" s="27"/>
      <c r="R137" s="28" t="s">
        <v>1</v>
      </c>
      <c r="S137" s="28"/>
    </row>
    <row r="138" spans="1:19" s="1" customFormat="1" ht="24" customHeight="1">
      <c r="A138" s="22" t="s">
        <v>271</v>
      </c>
      <c r="B138" s="22"/>
      <c r="C138" s="22"/>
      <c r="D138" s="22"/>
      <c r="E138" s="22"/>
      <c r="F138" s="23" t="s">
        <v>272</v>
      </c>
      <c r="G138" s="23"/>
      <c r="H138" s="23"/>
      <c r="I138" s="24">
        <f>4041140.1</f>
        <v>4041140.1</v>
      </c>
      <c r="J138" s="24"/>
      <c r="K138" s="25">
        <f>4041140.1</f>
        <v>4041140.1</v>
      </c>
      <c r="L138" s="25"/>
      <c r="M138" s="12">
        <f>3653133.6</f>
        <v>3653133.6</v>
      </c>
      <c r="N138" s="13" t="s">
        <v>273</v>
      </c>
      <c r="O138" s="14" t="s">
        <v>273</v>
      </c>
      <c r="P138" s="24">
        <f>388006.5</f>
        <v>388006.5</v>
      </c>
      <c r="Q138" s="24"/>
      <c r="R138" s="26">
        <f>388006.5</f>
        <v>388006.5</v>
      </c>
      <c r="S138" s="26"/>
    </row>
    <row r="139" spans="1:19" s="1" customFormat="1" ht="24" customHeight="1">
      <c r="A139" s="22" t="s">
        <v>274</v>
      </c>
      <c r="B139" s="22"/>
      <c r="C139" s="22"/>
      <c r="D139" s="22"/>
      <c r="E139" s="22"/>
      <c r="F139" s="23" t="s">
        <v>100</v>
      </c>
      <c r="G139" s="23"/>
      <c r="H139" s="23"/>
      <c r="I139" s="24">
        <f>4041140.1</f>
        <v>4041140.1</v>
      </c>
      <c r="J139" s="24"/>
      <c r="K139" s="25">
        <f>4041140.1</f>
        <v>4041140.1</v>
      </c>
      <c r="L139" s="25"/>
      <c r="M139" s="12">
        <f>3653133.6</f>
        <v>3653133.6</v>
      </c>
      <c r="N139" s="13" t="s">
        <v>273</v>
      </c>
      <c r="O139" s="14" t="s">
        <v>273</v>
      </c>
      <c r="P139" s="24">
        <f>388006.5</f>
        <v>388006.5</v>
      </c>
      <c r="Q139" s="24"/>
      <c r="R139" s="26">
        <f>388006.5</f>
        <v>388006.5</v>
      </c>
      <c r="S139" s="26"/>
    </row>
    <row r="140" spans="1:19" s="1" customFormat="1" ht="33.75" customHeight="1">
      <c r="A140" s="22" t="s">
        <v>275</v>
      </c>
      <c r="B140" s="22"/>
      <c r="C140" s="22"/>
      <c r="D140" s="22"/>
      <c r="E140" s="22"/>
      <c r="F140" s="23" t="s">
        <v>276</v>
      </c>
      <c r="G140" s="23"/>
      <c r="H140" s="23"/>
      <c r="I140" s="24">
        <f>3405108.89</f>
        <v>3405108.89</v>
      </c>
      <c r="J140" s="24"/>
      <c r="K140" s="25">
        <f>3405108.89</f>
        <v>3405108.89</v>
      </c>
      <c r="L140" s="25"/>
      <c r="M140" s="12">
        <f>3405108.89</f>
        <v>3405108.89</v>
      </c>
      <c r="N140" s="13" t="s">
        <v>54</v>
      </c>
      <c r="O140" s="14" t="s">
        <v>54</v>
      </c>
      <c r="P140" s="27" t="s">
        <v>1</v>
      </c>
      <c r="Q140" s="27"/>
      <c r="R140" s="28" t="s">
        <v>1</v>
      </c>
      <c r="S140" s="28"/>
    </row>
    <row r="141" spans="1:19" s="1" customFormat="1" ht="24" customHeight="1">
      <c r="A141" s="22" t="s">
        <v>277</v>
      </c>
      <c r="B141" s="22"/>
      <c r="C141" s="22"/>
      <c r="D141" s="22"/>
      <c r="E141" s="22"/>
      <c r="F141" s="23" t="s">
        <v>100</v>
      </c>
      <c r="G141" s="23"/>
      <c r="H141" s="23"/>
      <c r="I141" s="24">
        <f>3405108.89</f>
        <v>3405108.89</v>
      </c>
      <c r="J141" s="24"/>
      <c r="K141" s="25">
        <f>3405108.89</f>
        <v>3405108.89</v>
      </c>
      <c r="L141" s="25"/>
      <c r="M141" s="12">
        <f>3405108.89</f>
        <v>3405108.89</v>
      </c>
      <c r="N141" s="13" t="s">
        <v>54</v>
      </c>
      <c r="O141" s="14" t="s">
        <v>54</v>
      </c>
      <c r="P141" s="27" t="s">
        <v>1</v>
      </c>
      <c r="Q141" s="27"/>
      <c r="R141" s="28" t="s">
        <v>1</v>
      </c>
      <c r="S141" s="28"/>
    </row>
    <row r="142" spans="1:19" s="1" customFormat="1" ht="33.75" customHeight="1">
      <c r="A142" s="22" t="s">
        <v>278</v>
      </c>
      <c r="B142" s="22"/>
      <c r="C142" s="22"/>
      <c r="D142" s="22"/>
      <c r="E142" s="22"/>
      <c r="F142" s="23" t="s">
        <v>279</v>
      </c>
      <c r="G142" s="23"/>
      <c r="H142" s="23"/>
      <c r="I142" s="24">
        <f>851277.23</f>
        <v>851277.23</v>
      </c>
      <c r="J142" s="24"/>
      <c r="K142" s="25">
        <f>851277.23</f>
        <v>851277.23</v>
      </c>
      <c r="L142" s="25"/>
      <c r="M142" s="12">
        <f>851277.23</f>
        <v>851277.23</v>
      </c>
      <c r="N142" s="13" t="s">
        <v>54</v>
      </c>
      <c r="O142" s="14" t="s">
        <v>54</v>
      </c>
      <c r="P142" s="27" t="s">
        <v>1</v>
      </c>
      <c r="Q142" s="27"/>
      <c r="R142" s="28" t="s">
        <v>1</v>
      </c>
      <c r="S142" s="28"/>
    </row>
    <row r="143" spans="1:19" s="1" customFormat="1" ht="24" customHeight="1">
      <c r="A143" s="22" t="s">
        <v>280</v>
      </c>
      <c r="B143" s="22"/>
      <c r="C143" s="22"/>
      <c r="D143" s="22"/>
      <c r="E143" s="22"/>
      <c r="F143" s="23" t="s">
        <v>100</v>
      </c>
      <c r="G143" s="23"/>
      <c r="H143" s="23"/>
      <c r="I143" s="24">
        <f>851277.23</f>
        <v>851277.23</v>
      </c>
      <c r="J143" s="24"/>
      <c r="K143" s="25">
        <f>851277.23</f>
        <v>851277.23</v>
      </c>
      <c r="L143" s="25"/>
      <c r="M143" s="12">
        <f>851277.23</f>
        <v>851277.23</v>
      </c>
      <c r="N143" s="13" t="s">
        <v>54</v>
      </c>
      <c r="O143" s="14" t="s">
        <v>54</v>
      </c>
      <c r="P143" s="27" t="s">
        <v>1</v>
      </c>
      <c r="Q143" s="27"/>
      <c r="R143" s="28" t="s">
        <v>1</v>
      </c>
      <c r="S143" s="28"/>
    </row>
    <row r="144" spans="1:19" s="1" customFormat="1" ht="66" customHeight="1">
      <c r="A144" s="22" t="s">
        <v>281</v>
      </c>
      <c r="B144" s="22"/>
      <c r="C144" s="22"/>
      <c r="D144" s="22"/>
      <c r="E144" s="22"/>
      <c r="F144" s="23" t="s">
        <v>90</v>
      </c>
      <c r="G144" s="23"/>
      <c r="H144" s="23"/>
      <c r="I144" s="24">
        <f>827629</f>
        <v>827629</v>
      </c>
      <c r="J144" s="24"/>
      <c r="K144" s="25">
        <f>827629</f>
        <v>827629</v>
      </c>
      <c r="L144" s="25"/>
      <c r="M144" s="12">
        <f>827629</f>
        <v>827629</v>
      </c>
      <c r="N144" s="13" t="s">
        <v>54</v>
      </c>
      <c r="O144" s="14" t="s">
        <v>54</v>
      </c>
      <c r="P144" s="27" t="s">
        <v>1</v>
      </c>
      <c r="Q144" s="27"/>
      <c r="R144" s="28" t="s">
        <v>1</v>
      </c>
      <c r="S144" s="28"/>
    </row>
    <row r="145" spans="1:19" s="1" customFormat="1" ht="13.5" customHeight="1">
      <c r="A145" s="22" t="s">
        <v>282</v>
      </c>
      <c r="B145" s="22"/>
      <c r="C145" s="22"/>
      <c r="D145" s="22"/>
      <c r="E145" s="22"/>
      <c r="F145" s="23" t="s">
        <v>92</v>
      </c>
      <c r="G145" s="23"/>
      <c r="H145" s="23"/>
      <c r="I145" s="24">
        <f>827629</f>
        <v>827629</v>
      </c>
      <c r="J145" s="24"/>
      <c r="K145" s="25">
        <f>827629</f>
        <v>827629</v>
      </c>
      <c r="L145" s="25"/>
      <c r="M145" s="12">
        <f>827629</f>
        <v>827629</v>
      </c>
      <c r="N145" s="13" t="s">
        <v>54</v>
      </c>
      <c r="O145" s="14" t="s">
        <v>54</v>
      </c>
      <c r="P145" s="27" t="s">
        <v>1</v>
      </c>
      <c r="Q145" s="27"/>
      <c r="R145" s="28" t="s">
        <v>1</v>
      </c>
      <c r="S145" s="28"/>
    </row>
    <row r="146" spans="1:19" s="1" customFormat="1" ht="24" customHeight="1">
      <c r="A146" s="22" t="s">
        <v>283</v>
      </c>
      <c r="B146" s="22"/>
      <c r="C146" s="22"/>
      <c r="D146" s="22"/>
      <c r="E146" s="22"/>
      <c r="F146" s="23" t="s">
        <v>284</v>
      </c>
      <c r="G146" s="23"/>
      <c r="H146" s="23"/>
      <c r="I146" s="24">
        <f>1127780.19</f>
        <v>1127780.19</v>
      </c>
      <c r="J146" s="24"/>
      <c r="K146" s="25">
        <f>1127780.19</f>
        <v>1127780.19</v>
      </c>
      <c r="L146" s="25"/>
      <c r="M146" s="12">
        <f>1124031.92</f>
        <v>1124031.92</v>
      </c>
      <c r="N146" s="13" t="s">
        <v>285</v>
      </c>
      <c r="O146" s="14" t="s">
        <v>285</v>
      </c>
      <c r="P146" s="24">
        <f>3748.27</f>
        <v>3748.27</v>
      </c>
      <c r="Q146" s="24"/>
      <c r="R146" s="26">
        <f>3748.27</f>
        <v>3748.27</v>
      </c>
      <c r="S146" s="26"/>
    </row>
    <row r="147" spans="1:19" s="1" customFormat="1" ht="13.5" customHeight="1">
      <c r="A147" s="22" t="s">
        <v>286</v>
      </c>
      <c r="B147" s="22"/>
      <c r="C147" s="22"/>
      <c r="D147" s="22"/>
      <c r="E147" s="22"/>
      <c r="F147" s="23" t="s">
        <v>287</v>
      </c>
      <c r="G147" s="23"/>
      <c r="H147" s="23"/>
      <c r="I147" s="24">
        <f>1124031.92</f>
        <v>1124031.92</v>
      </c>
      <c r="J147" s="24"/>
      <c r="K147" s="25">
        <f>1124031.92</f>
        <v>1124031.92</v>
      </c>
      <c r="L147" s="25"/>
      <c r="M147" s="12">
        <f>1124031.92</f>
        <v>1124031.92</v>
      </c>
      <c r="N147" s="13" t="s">
        <v>54</v>
      </c>
      <c r="O147" s="14" t="s">
        <v>54</v>
      </c>
      <c r="P147" s="27" t="s">
        <v>1</v>
      </c>
      <c r="Q147" s="27"/>
      <c r="R147" s="28" t="s">
        <v>1</v>
      </c>
      <c r="S147" s="28"/>
    </row>
    <row r="148" spans="1:19" s="1" customFormat="1" ht="24" customHeight="1">
      <c r="A148" s="22" t="s">
        <v>288</v>
      </c>
      <c r="B148" s="22"/>
      <c r="C148" s="22"/>
      <c r="D148" s="22"/>
      <c r="E148" s="22"/>
      <c r="F148" s="23" t="s">
        <v>100</v>
      </c>
      <c r="G148" s="23"/>
      <c r="H148" s="23"/>
      <c r="I148" s="24">
        <f>1124031.92</f>
        <v>1124031.92</v>
      </c>
      <c r="J148" s="24"/>
      <c r="K148" s="25">
        <f>1124031.92</f>
        <v>1124031.92</v>
      </c>
      <c r="L148" s="25"/>
      <c r="M148" s="12">
        <f>1124031.92</f>
        <v>1124031.92</v>
      </c>
      <c r="N148" s="13" t="s">
        <v>54</v>
      </c>
      <c r="O148" s="14" t="s">
        <v>54</v>
      </c>
      <c r="P148" s="27" t="s">
        <v>1</v>
      </c>
      <c r="Q148" s="27"/>
      <c r="R148" s="28" t="s">
        <v>1</v>
      </c>
      <c r="S148" s="28"/>
    </row>
    <row r="149" spans="1:19" s="1" customFormat="1" ht="54.75" customHeight="1">
      <c r="A149" s="22" t="s">
        <v>289</v>
      </c>
      <c r="B149" s="22"/>
      <c r="C149" s="22"/>
      <c r="D149" s="22"/>
      <c r="E149" s="22"/>
      <c r="F149" s="23" t="s">
        <v>290</v>
      </c>
      <c r="G149" s="23"/>
      <c r="H149" s="23"/>
      <c r="I149" s="24">
        <f>3748.27</f>
        <v>3748.27</v>
      </c>
      <c r="J149" s="24"/>
      <c r="K149" s="25">
        <f>3748.27</f>
        <v>3748.27</v>
      </c>
      <c r="L149" s="25"/>
      <c r="M149" s="13" t="s">
        <v>1</v>
      </c>
      <c r="N149" s="13" t="s">
        <v>114</v>
      </c>
      <c r="O149" s="14" t="s">
        <v>114</v>
      </c>
      <c r="P149" s="24">
        <f>3748.27</f>
        <v>3748.27</v>
      </c>
      <c r="Q149" s="24"/>
      <c r="R149" s="26">
        <f>3748.27</f>
        <v>3748.27</v>
      </c>
      <c r="S149" s="26"/>
    </row>
    <row r="150" spans="1:19" s="1" customFormat="1" ht="24" customHeight="1">
      <c r="A150" s="22" t="s">
        <v>291</v>
      </c>
      <c r="B150" s="22"/>
      <c r="C150" s="22"/>
      <c r="D150" s="22"/>
      <c r="E150" s="22"/>
      <c r="F150" s="23" t="s">
        <v>100</v>
      </c>
      <c r="G150" s="23"/>
      <c r="H150" s="23"/>
      <c r="I150" s="24">
        <f>3748.27</f>
        <v>3748.27</v>
      </c>
      <c r="J150" s="24"/>
      <c r="K150" s="25">
        <f>3748.27</f>
        <v>3748.27</v>
      </c>
      <c r="L150" s="25"/>
      <c r="M150" s="13" t="s">
        <v>1</v>
      </c>
      <c r="N150" s="13" t="s">
        <v>114</v>
      </c>
      <c r="O150" s="14" t="s">
        <v>114</v>
      </c>
      <c r="P150" s="24">
        <f>3748.27</f>
        <v>3748.27</v>
      </c>
      <c r="Q150" s="24"/>
      <c r="R150" s="26">
        <f>3748.27</f>
        <v>3748.27</v>
      </c>
      <c r="S150" s="26"/>
    </row>
    <row r="151" spans="1:19" s="1" customFormat="1" ht="13.5" customHeight="1">
      <c r="A151" s="22" t="s">
        <v>292</v>
      </c>
      <c r="B151" s="22"/>
      <c r="C151" s="22"/>
      <c r="D151" s="22"/>
      <c r="E151" s="22"/>
      <c r="F151" s="23" t="s">
        <v>293</v>
      </c>
      <c r="G151" s="23"/>
      <c r="H151" s="23"/>
      <c r="I151" s="24">
        <f>1345141.98</f>
        <v>1345141.98</v>
      </c>
      <c r="J151" s="24"/>
      <c r="K151" s="25">
        <f>1345141.98</f>
        <v>1345141.98</v>
      </c>
      <c r="L151" s="25"/>
      <c r="M151" s="12">
        <f>1336977.49</f>
        <v>1336977.49</v>
      </c>
      <c r="N151" s="13" t="s">
        <v>294</v>
      </c>
      <c r="O151" s="14" t="s">
        <v>294</v>
      </c>
      <c r="P151" s="24">
        <f>8164.49</f>
        <v>8164.49</v>
      </c>
      <c r="Q151" s="24"/>
      <c r="R151" s="26">
        <f>8164.49</f>
        <v>8164.49</v>
      </c>
      <c r="S151" s="26"/>
    </row>
    <row r="152" spans="1:19" s="1" customFormat="1" ht="45" customHeight="1">
      <c r="A152" s="22" t="s">
        <v>295</v>
      </c>
      <c r="B152" s="22"/>
      <c r="C152" s="22"/>
      <c r="D152" s="22"/>
      <c r="E152" s="22"/>
      <c r="F152" s="23" t="s">
        <v>296</v>
      </c>
      <c r="G152" s="23"/>
      <c r="H152" s="23"/>
      <c r="I152" s="24">
        <f>1297141.98</f>
        <v>1297141.98</v>
      </c>
      <c r="J152" s="24"/>
      <c r="K152" s="25">
        <f>1297141.98</f>
        <v>1297141.98</v>
      </c>
      <c r="L152" s="25"/>
      <c r="M152" s="12">
        <f>1288977.49</f>
        <v>1288977.49</v>
      </c>
      <c r="N152" s="13" t="s">
        <v>297</v>
      </c>
      <c r="O152" s="14" t="s">
        <v>297</v>
      </c>
      <c r="P152" s="24">
        <f>8164.49</f>
        <v>8164.49</v>
      </c>
      <c r="Q152" s="24"/>
      <c r="R152" s="26">
        <f>8164.49</f>
        <v>8164.49</v>
      </c>
      <c r="S152" s="26"/>
    </row>
    <row r="153" spans="1:19" s="1" customFormat="1" ht="13.5" customHeight="1">
      <c r="A153" s="22" t="s">
        <v>298</v>
      </c>
      <c r="B153" s="22"/>
      <c r="C153" s="22"/>
      <c r="D153" s="22"/>
      <c r="E153" s="22"/>
      <c r="F153" s="23" t="s">
        <v>168</v>
      </c>
      <c r="G153" s="23"/>
      <c r="H153" s="23"/>
      <c r="I153" s="24">
        <f>1297141.98</f>
        <v>1297141.98</v>
      </c>
      <c r="J153" s="24"/>
      <c r="K153" s="25">
        <f>1297141.98</f>
        <v>1297141.98</v>
      </c>
      <c r="L153" s="25"/>
      <c r="M153" s="12">
        <f>1288977.49</f>
        <v>1288977.49</v>
      </c>
      <c r="N153" s="13" t="s">
        <v>297</v>
      </c>
      <c r="O153" s="14" t="s">
        <v>297</v>
      </c>
      <c r="P153" s="24">
        <f>8164.49</f>
        <v>8164.49</v>
      </c>
      <c r="Q153" s="24"/>
      <c r="R153" s="26">
        <f>8164.49</f>
        <v>8164.49</v>
      </c>
      <c r="S153" s="26"/>
    </row>
    <row r="154" spans="1:19" s="1" customFormat="1" ht="33.75" customHeight="1">
      <c r="A154" s="22" t="s">
        <v>299</v>
      </c>
      <c r="B154" s="22"/>
      <c r="C154" s="22"/>
      <c r="D154" s="22"/>
      <c r="E154" s="22"/>
      <c r="F154" s="23" t="s">
        <v>300</v>
      </c>
      <c r="G154" s="23"/>
      <c r="H154" s="23"/>
      <c r="I154" s="24">
        <f>48000</f>
        <v>48000</v>
      </c>
      <c r="J154" s="24"/>
      <c r="K154" s="25">
        <f>48000</f>
        <v>48000</v>
      </c>
      <c r="L154" s="25"/>
      <c r="M154" s="12">
        <f>48000</f>
        <v>48000</v>
      </c>
      <c r="N154" s="13" t="s">
        <v>54</v>
      </c>
      <c r="O154" s="14" t="s">
        <v>54</v>
      </c>
      <c r="P154" s="27" t="s">
        <v>1</v>
      </c>
      <c r="Q154" s="27"/>
      <c r="R154" s="28" t="s">
        <v>1</v>
      </c>
      <c r="S154" s="28"/>
    </row>
    <row r="155" spans="1:19" s="1" customFormat="1" ht="13.5" customHeight="1">
      <c r="A155" s="22" t="s">
        <v>301</v>
      </c>
      <c r="B155" s="22"/>
      <c r="C155" s="22"/>
      <c r="D155" s="22"/>
      <c r="E155" s="22"/>
      <c r="F155" s="23" t="s">
        <v>168</v>
      </c>
      <c r="G155" s="23"/>
      <c r="H155" s="23"/>
      <c r="I155" s="24">
        <f>48000</f>
        <v>48000</v>
      </c>
      <c r="J155" s="24"/>
      <c r="K155" s="25">
        <f>48000</f>
        <v>48000</v>
      </c>
      <c r="L155" s="25"/>
      <c r="M155" s="12">
        <f>48000</f>
        <v>48000</v>
      </c>
      <c r="N155" s="13" t="s">
        <v>54</v>
      </c>
      <c r="O155" s="14" t="s">
        <v>54</v>
      </c>
      <c r="P155" s="27" t="s">
        <v>1</v>
      </c>
      <c r="Q155" s="27"/>
      <c r="R155" s="28" t="s">
        <v>1</v>
      </c>
      <c r="S155" s="28"/>
    </row>
    <row r="156" spans="1:19" s="1" customFormat="1" ht="13.5" customHeight="1">
      <c r="A156" s="22" t="s">
        <v>302</v>
      </c>
      <c r="B156" s="22"/>
      <c r="C156" s="22"/>
      <c r="D156" s="22"/>
      <c r="E156" s="22"/>
      <c r="F156" s="23" t="s">
        <v>303</v>
      </c>
      <c r="G156" s="23"/>
      <c r="H156" s="23"/>
      <c r="I156" s="24">
        <f>36591025.55</f>
        <v>36591025.55</v>
      </c>
      <c r="J156" s="24"/>
      <c r="K156" s="25">
        <f>36591025.55</f>
        <v>36591025.55</v>
      </c>
      <c r="L156" s="25"/>
      <c r="M156" s="12">
        <f>34008725.55</f>
        <v>34008725.55</v>
      </c>
      <c r="N156" s="13" t="s">
        <v>304</v>
      </c>
      <c r="O156" s="14" t="s">
        <v>304</v>
      </c>
      <c r="P156" s="24">
        <f>2582300</f>
        <v>2582300</v>
      </c>
      <c r="Q156" s="24"/>
      <c r="R156" s="26">
        <f>2582300</f>
        <v>2582300</v>
      </c>
      <c r="S156" s="26"/>
    </row>
    <row r="157" spans="1:19" s="1" customFormat="1" ht="45" customHeight="1">
      <c r="A157" s="22" t="s">
        <v>305</v>
      </c>
      <c r="B157" s="22"/>
      <c r="C157" s="22"/>
      <c r="D157" s="22"/>
      <c r="E157" s="22"/>
      <c r="F157" s="23" t="s">
        <v>306</v>
      </c>
      <c r="G157" s="23"/>
      <c r="H157" s="23"/>
      <c r="I157" s="24">
        <f>4811390</f>
        <v>4811390</v>
      </c>
      <c r="J157" s="24"/>
      <c r="K157" s="25">
        <f>4811390</f>
        <v>4811390</v>
      </c>
      <c r="L157" s="25"/>
      <c r="M157" s="12">
        <f>3512950</f>
        <v>3512950</v>
      </c>
      <c r="N157" s="13" t="s">
        <v>307</v>
      </c>
      <c r="O157" s="14" t="s">
        <v>307</v>
      </c>
      <c r="P157" s="24">
        <f>1298440</f>
        <v>1298440</v>
      </c>
      <c r="Q157" s="24"/>
      <c r="R157" s="26">
        <f>1298440</f>
        <v>1298440</v>
      </c>
      <c r="S157" s="26"/>
    </row>
    <row r="158" spans="1:19" s="1" customFormat="1" ht="54.75" customHeight="1">
      <c r="A158" s="22" t="s">
        <v>308</v>
      </c>
      <c r="B158" s="22"/>
      <c r="C158" s="22"/>
      <c r="D158" s="22"/>
      <c r="E158" s="22"/>
      <c r="F158" s="23" t="s">
        <v>309</v>
      </c>
      <c r="G158" s="23"/>
      <c r="H158" s="23"/>
      <c r="I158" s="24">
        <f>4811390</f>
        <v>4811390</v>
      </c>
      <c r="J158" s="24"/>
      <c r="K158" s="25">
        <f>4811390</f>
        <v>4811390</v>
      </c>
      <c r="L158" s="25"/>
      <c r="M158" s="12">
        <f>3512950</f>
        <v>3512950</v>
      </c>
      <c r="N158" s="13" t="s">
        <v>307</v>
      </c>
      <c r="O158" s="14" t="s">
        <v>307</v>
      </c>
      <c r="P158" s="24">
        <f>1298440</f>
        <v>1298440</v>
      </c>
      <c r="Q158" s="24"/>
      <c r="R158" s="26">
        <f>1298440</f>
        <v>1298440</v>
      </c>
      <c r="S158" s="26"/>
    </row>
    <row r="159" spans="1:19" s="1" customFormat="1" ht="24" customHeight="1">
      <c r="A159" s="22" t="s">
        <v>310</v>
      </c>
      <c r="B159" s="22"/>
      <c r="C159" s="22"/>
      <c r="D159" s="22"/>
      <c r="E159" s="22"/>
      <c r="F159" s="23" t="s">
        <v>311</v>
      </c>
      <c r="G159" s="23"/>
      <c r="H159" s="23"/>
      <c r="I159" s="24">
        <f>18648610</f>
        <v>18648610</v>
      </c>
      <c r="J159" s="24"/>
      <c r="K159" s="25">
        <f>18648610</f>
        <v>18648610</v>
      </c>
      <c r="L159" s="25"/>
      <c r="M159" s="12">
        <f>18363050</f>
        <v>18363050</v>
      </c>
      <c r="N159" s="13" t="s">
        <v>312</v>
      </c>
      <c r="O159" s="14" t="s">
        <v>312</v>
      </c>
      <c r="P159" s="24">
        <f>285560</f>
        <v>285560</v>
      </c>
      <c r="Q159" s="24"/>
      <c r="R159" s="26">
        <f>285560</f>
        <v>285560</v>
      </c>
      <c r="S159" s="26"/>
    </row>
    <row r="160" spans="1:19" s="1" customFormat="1" ht="54.75" customHeight="1">
      <c r="A160" s="22" t="s">
        <v>313</v>
      </c>
      <c r="B160" s="22"/>
      <c r="C160" s="22"/>
      <c r="D160" s="22"/>
      <c r="E160" s="22"/>
      <c r="F160" s="23" t="s">
        <v>309</v>
      </c>
      <c r="G160" s="23"/>
      <c r="H160" s="23"/>
      <c r="I160" s="24">
        <f>18648610</f>
        <v>18648610</v>
      </c>
      <c r="J160" s="24"/>
      <c r="K160" s="25">
        <f>18648610</f>
        <v>18648610</v>
      </c>
      <c r="L160" s="25"/>
      <c r="M160" s="12">
        <f>18363050</f>
        <v>18363050</v>
      </c>
      <c r="N160" s="13" t="s">
        <v>312</v>
      </c>
      <c r="O160" s="14" t="s">
        <v>312</v>
      </c>
      <c r="P160" s="24">
        <f>285560</f>
        <v>285560</v>
      </c>
      <c r="Q160" s="24"/>
      <c r="R160" s="26">
        <f>285560</f>
        <v>285560</v>
      </c>
      <c r="S160" s="26"/>
    </row>
    <row r="161" spans="1:19" s="1" customFormat="1" ht="45" customHeight="1">
      <c r="A161" s="22" t="s">
        <v>314</v>
      </c>
      <c r="B161" s="22"/>
      <c r="C161" s="22"/>
      <c r="D161" s="22"/>
      <c r="E161" s="22"/>
      <c r="F161" s="23" t="s">
        <v>306</v>
      </c>
      <c r="G161" s="23"/>
      <c r="H161" s="23"/>
      <c r="I161" s="24">
        <f>2768510</f>
        <v>2768510</v>
      </c>
      <c r="J161" s="24"/>
      <c r="K161" s="25">
        <f>2768510</f>
        <v>2768510</v>
      </c>
      <c r="L161" s="25"/>
      <c r="M161" s="12">
        <f>1996700</f>
        <v>1996700</v>
      </c>
      <c r="N161" s="13" t="s">
        <v>315</v>
      </c>
      <c r="O161" s="14" t="s">
        <v>315</v>
      </c>
      <c r="P161" s="24">
        <f>771810</f>
        <v>771810</v>
      </c>
      <c r="Q161" s="24"/>
      <c r="R161" s="26">
        <f>771810</f>
        <v>771810</v>
      </c>
      <c r="S161" s="26"/>
    </row>
    <row r="162" spans="1:19" s="1" customFormat="1" ht="54.75" customHeight="1">
      <c r="A162" s="22" t="s">
        <v>316</v>
      </c>
      <c r="B162" s="22"/>
      <c r="C162" s="22"/>
      <c r="D162" s="22"/>
      <c r="E162" s="22"/>
      <c r="F162" s="23" t="s">
        <v>309</v>
      </c>
      <c r="G162" s="23"/>
      <c r="H162" s="23"/>
      <c r="I162" s="24">
        <f>2768510</f>
        <v>2768510</v>
      </c>
      <c r="J162" s="24"/>
      <c r="K162" s="25">
        <f>2768510</f>
        <v>2768510</v>
      </c>
      <c r="L162" s="25"/>
      <c r="M162" s="12">
        <f>1996700</f>
        <v>1996700</v>
      </c>
      <c r="N162" s="13" t="s">
        <v>315</v>
      </c>
      <c r="O162" s="14" t="s">
        <v>315</v>
      </c>
      <c r="P162" s="24">
        <f>771810</f>
        <v>771810</v>
      </c>
      <c r="Q162" s="24"/>
      <c r="R162" s="26">
        <f>771810</f>
        <v>771810</v>
      </c>
      <c r="S162" s="26"/>
    </row>
    <row r="163" spans="1:19" s="1" customFormat="1" ht="24" customHeight="1">
      <c r="A163" s="22" t="s">
        <v>317</v>
      </c>
      <c r="B163" s="22"/>
      <c r="C163" s="22"/>
      <c r="D163" s="22"/>
      <c r="E163" s="22"/>
      <c r="F163" s="23" t="s">
        <v>311</v>
      </c>
      <c r="G163" s="23"/>
      <c r="H163" s="23"/>
      <c r="I163" s="24">
        <f>9211490</f>
        <v>9211490</v>
      </c>
      <c r="J163" s="24"/>
      <c r="K163" s="25">
        <f>9211490</f>
        <v>9211490</v>
      </c>
      <c r="L163" s="25"/>
      <c r="M163" s="12">
        <f>8985000</f>
        <v>8985000</v>
      </c>
      <c r="N163" s="13" t="s">
        <v>318</v>
      </c>
      <c r="O163" s="14" t="s">
        <v>318</v>
      </c>
      <c r="P163" s="24">
        <f>226490</f>
        <v>226490</v>
      </c>
      <c r="Q163" s="24"/>
      <c r="R163" s="26">
        <f>226490</f>
        <v>226490</v>
      </c>
      <c r="S163" s="26"/>
    </row>
    <row r="164" spans="1:19" s="1" customFormat="1" ht="54.75" customHeight="1">
      <c r="A164" s="22" t="s">
        <v>319</v>
      </c>
      <c r="B164" s="22"/>
      <c r="C164" s="22"/>
      <c r="D164" s="22"/>
      <c r="E164" s="22"/>
      <c r="F164" s="23" t="s">
        <v>309</v>
      </c>
      <c r="G164" s="23"/>
      <c r="H164" s="23"/>
      <c r="I164" s="24">
        <f>9211490</f>
        <v>9211490</v>
      </c>
      <c r="J164" s="24"/>
      <c r="K164" s="25">
        <f>9211490</f>
        <v>9211490</v>
      </c>
      <c r="L164" s="25"/>
      <c r="M164" s="12">
        <f>8985000</f>
        <v>8985000</v>
      </c>
      <c r="N164" s="13" t="s">
        <v>318</v>
      </c>
      <c r="O164" s="14" t="s">
        <v>318</v>
      </c>
      <c r="P164" s="24">
        <f>226490</f>
        <v>226490</v>
      </c>
      <c r="Q164" s="24"/>
      <c r="R164" s="26">
        <f>226490</f>
        <v>226490</v>
      </c>
      <c r="S164" s="26"/>
    </row>
    <row r="165" spans="1:19" s="1" customFormat="1" ht="24" customHeight="1">
      <c r="A165" s="22" t="s">
        <v>320</v>
      </c>
      <c r="B165" s="22"/>
      <c r="C165" s="22"/>
      <c r="D165" s="22"/>
      <c r="E165" s="22"/>
      <c r="F165" s="23" t="s">
        <v>311</v>
      </c>
      <c r="G165" s="23"/>
      <c r="H165" s="23"/>
      <c r="I165" s="24">
        <f>1151025.55</f>
        <v>1151025.55</v>
      </c>
      <c r="J165" s="24"/>
      <c r="K165" s="25">
        <f>1151025.55</f>
        <v>1151025.55</v>
      </c>
      <c r="L165" s="25"/>
      <c r="M165" s="12">
        <f>1151025.55</f>
        <v>1151025.55</v>
      </c>
      <c r="N165" s="13" t="s">
        <v>54</v>
      </c>
      <c r="O165" s="14" t="s">
        <v>54</v>
      </c>
      <c r="P165" s="27" t="s">
        <v>1</v>
      </c>
      <c r="Q165" s="27"/>
      <c r="R165" s="28" t="s">
        <v>1</v>
      </c>
      <c r="S165" s="28"/>
    </row>
    <row r="166" spans="1:19" s="1" customFormat="1" ht="13.5" customHeight="1">
      <c r="A166" s="22" t="s">
        <v>321</v>
      </c>
      <c r="B166" s="22"/>
      <c r="C166" s="22"/>
      <c r="D166" s="22"/>
      <c r="E166" s="22"/>
      <c r="F166" s="23" t="s">
        <v>168</v>
      </c>
      <c r="G166" s="23"/>
      <c r="H166" s="23"/>
      <c r="I166" s="24">
        <f>1151025.55</f>
        <v>1151025.55</v>
      </c>
      <c r="J166" s="24"/>
      <c r="K166" s="25">
        <f>1151025.55</f>
        <v>1151025.55</v>
      </c>
      <c r="L166" s="25"/>
      <c r="M166" s="12">
        <f>1151025.55</f>
        <v>1151025.55</v>
      </c>
      <c r="N166" s="13" t="s">
        <v>54</v>
      </c>
      <c r="O166" s="14" t="s">
        <v>54</v>
      </c>
      <c r="P166" s="27" t="s">
        <v>1</v>
      </c>
      <c r="Q166" s="27"/>
      <c r="R166" s="28" t="s">
        <v>1</v>
      </c>
      <c r="S166" s="28"/>
    </row>
    <row r="167" spans="1:19" s="1" customFormat="1" ht="13.5" customHeight="1">
      <c r="A167" s="22" t="s">
        <v>322</v>
      </c>
      <c r="B167" s="22"/>
      <c r="C167" s="22"/>
      <c r="D167" s="22"/>
      <c r="E167" s="22"/>
      <c r="F167" s="23" t="s">
        <v>323</v>
      </c>
      <c r="G167" s="23"/>
      <c r="H167" s="23"/>
      <c r="I167" s="24">
        <f>191300</f>
        <v>191300</v>
      </c>
      <c r="J167" s="24"/>
      <c r="K167" s="25">
        <f>191300</f>
        <v>191300</v>
      </c>
      <c r="L167" s="25"/>
      <c r="M167" s="13" t="s">
        <v>1</v>
      </c>
      <c r="N167" s="13" t="s">
        <v>114</v>
      </c>
      <c r="O167" s="14" t="s">
        <v>114</v>
      </c>
      <c r="P167" s="24">
        <f>191300</f>
        <v>191300</v>
      </c>
      <c r="Q167" s="24"/>
      <c r="R167" s="26">
        <f>191300</f>
        <v>191300</v>
      </c>
      <c r="S167" s="26"/>
    </row>
    <row r="168" spans="1:19" s="1" customFormat="1" ht="45" customHeight="1">
      <c r="A168" s="22" t="s">
        <v>324</v>
      </c>
      <c r="B168" s="22"/>
      <c r="C168" s="22"/>
      <c r="D168" s="22"/>
      <c r="E168" s="22"/>
      <c r="F168" s="23" t="s">
        <v>325</v>
      </c>
      <c r="G168" s="23"/>
      <c r="H168" s="23"/>
      <c r="I168" s="24">
        <f>191300</f>
        <v>191300</v>
      </c>
      <c r="J168" s="24"/>
      <c r="K168" s="25">
        <f>191300</f>
        <v>191300</v>
      </c>
      <c r="L168" s="25"/>
      <c r="M168" s="13" t="s">
        <v>1</v>
      </c>
      <c r="N168" s="13" t="s">
        <v>114</v>
      </c>
      <c r="O168" s="14" t="s">
        <v>114</v>
      </c>
      <c r="P168" s="24">
        <f>191300</f>
        <v>191300</v>
      </c>
      <c r="Q168" s="24"/>
      <c r="R168" s="26">
        <f>191300</f>
        <v>191300</v>
      </c>
      <c r="S168" s="26"/>
    </row>
    <row r="169" spans="1:19" s="1" customFormat="1" ht="24" customHeight="1">
      <c r="A169" s="22" t="s">
        <v>326</v>
      </c>
      <c r="B169" s="22"/>
      <c r="C169" s="22"/>
      <c r="D169" s="22"/>
      <c r="E169" s="22"/>
      <c r="F169" s="23" t="s">
        <v>100</v>
      </c>
      <c r="G169" s="23"/>
      <c r="H169" s="23"/>
      <c r="I169" s="24">
        <f>191300</f>
        <v>191300</v>
      </c>
      <c r="J169" s="24"/>
      <c r="K169" s="25">
        <f>191300</f>
        <v>191300</v>
      </c>
      <c r="L169" s="25"/>
      <c r="M169" s="13" t="s">
        <v>1</v>
      </c>
      <c r="N169" s="13" t="s">
        <v>114</v>
      </c>
      <c r="O169" s="14" t="s">
        <v>114</v>
      </c>
      <c r="P169" s="24">
        <f>191300</f>
        <v>191300</v>
      </c>
      <c r="Q169" s="24"/>
      <c r="R169" s="26">
        <f>191300</f>
        <v>191300</v>
      </c>
      <c r="S169" s="26"/>
    </row>
    <row r="170" spans="1:19" s="1" customFormat="1" ht="13.5" customHeight="1">
      <c r="A170" s="22" t="s">
        <v>327</v>
      </c>
      <c r="B170" s="22"/>
      <c r="C170" s="22"/>
      <c r="D170" s="22"/>
      <c r="E170" s="22"/>
      <c r="F170" s="23" t="s">
        <v>328</v>
      </c>
      <c r="G170" s="23"/>
      <c r="H170" s="23"/>
      <c r="I170" s="24">
        <f>389328</f>
        <v>389328</v>
      </c>
      <c r="J170" s="24"/>
      <c r="K170" s="25">
        <f>389328</f>
        <v>389328</v>
      </c>
      <c r="L170" s="25"/>
      <c r="M170" s="12">
        <f>356884</f>
        <v>356884</v>
      </c>
      <c r="N170" s="13" t="s">
        <v>207</v>
      </c>
      <c r="O170" s="14" t="s">
        <v>207</v>
      </c>
      <c r="P170" s="24">
        <f>32444</f>
        <v>32444</v>
      </c>
      <c r="Q170" s="24"/>
      <c r="R170" s="26">
        <f>32444</f>
        <v>32444</v>
      </c>
      <c r="S170" s="26"/>
    </row>
    <row r="171" spans="1:19" s="1" customFormat="1" ht="13.5" customHeight="1">
      <c r="A171" s="22" t="s">
        <v>329</v>
      </c>
      <c r="B171" s="22"/>
      <c r="C171" s="22"/>
      <c r="D171" s="22"/>
      <c r="E171" s="22"/>
      <c r="F171" s="23" t="s">
        <v>97</v>
      </c>
      <c r="G171" s="23"/>
      <c r="H171" s="23"/>
      <c r="I171" s="24">
        <f>389328</f>
        <v>389328</v>
      </c>
      <c r="J171" s="24"/>
      <c r="K171" s="25">
        <f>389328</f>
        <v>389328</v>
      </c>
      <c r="L171" s="25"/>
      <c r="M171" s="12">
        <f>356884</f>
        <v>356884</v>
      </c>
      <c r="N171" s="13" t="s">
        <v>207</v>
      </c>
      <c r="O171" s="14" t="s">
        <v>207</v>
      </c>
      <c r="P171" s="24">
        <f>32444</f>
        <v>32444</v>
      </c>
      <c r="Q171" s="24"/>
      <c r="R171" s="26">
        <f>32444</f>
        <v>32444</v>
      </c>
      <c r="S171" s="26"/>
    </row>
    <row r="172" spans="1:19" s="1" customFormat="1" ht="24" customHeight="1">
      <c r="A172" s="22" t="s">
        <v>330</v>
      </c>
      <c r="B172" s="22"/>
      <c r="C172" s="22"/>
      <c r="D172" s="22"/>
      <c r="E172" s="22"/>
      <c r="F172" s="23" t="s">
        <v>331</v>
      </c>
      <c r="G172" s="23"/>
      <c r="H172" s="23"/>
      <c r="I172" s="24">
        <f>389328</f>
        <v>389328</v>
      </c>
      <c r="J172" s="24"/>
      <c r="K172" s="25">
        <f>389328</f>
        <v>389328</v>
      </c>
      <c r="L172" s="25"/>
      <c r="M172" s="12">
        <f>356884</f>
        <v>356884</v>
      </c>
      <c r="N172" s="13" t="s">
        <v>207</v>
      </c>
      <c r="O172" s="14" t="s">
        <v>207</v>
      </c>
      <c r="P172" s="24">
        <f>32444</f>
        <v>32444</v>
      </c>
      <c r="Q172" s="24"/>
      <c r="R172" s="26">
        <f>32444</f>
        <v>32444</v>
      </c>
      <c r="S172" s="26"/>
    </row>
    <row r="173" spans="1:19" s="1" customFormat="1" ht="13.5" customHeight="1">
      <c r="A173" s="22" t="s">
        <v>332</v>
      </c>
      <c r="B173" s="22"/>
      <c r="C173" s="22"/>
      <c r="D173" s="22"/>
      <c r="E173" s="22"/>
      <c r="F173" s="23" t="s">
        <v>333</v>
      </c>
      <c r="G173" s="23"/>
      <c r="H173" s="23"/>
      <c r="I173" s="24">
        <f>3210000</f>
        <v>3210000</v>
      </c>
      <c r="J173" s="24"/>
      <c r="K173" s="25">
        <f>3210000</f>
        <v>3210000</v>
      </c>
      <c r="L173" s="25"/>
      <c r="M173" s="12">
        <f>3087800</f>
        <v>3087800</v>
      </c>
      <c r="N173" s="13" t="s">
        <v>334</v>
      </c>
      <c r="O173" s="14" t="s">
        <v>334</v>
      </c>
      <c r="P173" s="24">
        <f>122200</f>
        <v>122200</v>
      </c>
      <c r="Q173" s="24"/>
      <c r="R173" s="26">
        <f>122200</f>
        <v>122200</v>
      </c>
      <c r="S173" s="26"/>
    </row>
    <row r="174" spans="1:19" s="1" customFormat="1" ht="24" customHeight="1">
      <c r="A174" s="22" t="s">
        <v>335</v>
      </c>
      <c r="B174" s="22"/>
      <c r="C174" s="22"/>
      <c r="D174" s="22"/>
      <c r="E174" s="22"/>
      <c r="F174" s="23" t="s">
        <v>311</v>
      </c>
      <c r="G174" s="23"/>
      <c r="H174" s="23"/>
      <c r="I174" s="24">
        <f>3110000</f>
        <v>3110000</v>
      </c>
      <c r="J174" s="24"/>
      <c r="K174" s="25">
        <f>3110000</f>
        <v>3110000</v>
      </c>
      <c r="L174" s="25"/>
      <c r="M174" s="12">
        <f>2988400</f>
        <v>2988400</v>
      </c>
      <c r="N174" s="13" t="s">
        <v>336</v>
      </c>
      <c r="O174" s="14" t="s">
        <v>336</v>
      </c>
      <c r="P174" s="24">
        <f>121600</f>
        <v>121600</v>
      </c>
      <c r="Q174" s="24"/>
      <c r="R174" s="26">
        <f>121600</f>
        <v>121600</v>
      </c>
      <c r="S174" s="26"/>
    </row>
    <row r="175" spans="1:19" s="1" customFormat="1" ht="54.75" customHeight="1">
      <c r="A175" s="22" t="s">
        <v>337</v>
      </c>
      <c r="B175" s="22"/>
      <c r="C175" s="22"/>
      <c r="D175" s="22"/>
      <c r="E175" s="22"/>
      <c r="F175" s="23" t="s">
        <v>309</v>
      </c>
      <c r="G175" s="23"/>
      <c r="H175" s="23"/>
      <c r="I175" s="24">
        <f>3110000</f>
        <v>3110000</v>
      </c>
      <c r="J175" s="24"/>
      <c r="K175" s="25">
        <f>3110000</f>
        <v>3110000</v>
      </c>
      <c r="L175" s="25"/>
      <c r="M175" s="12">
        <f>2988400</f>
        <v>2988400</v>
      </c>
      <c r="N175" s="13" t="s">
        <v>336</v>
      </c>
      <c r="O175" s="14" t="s">
        <v>336</v>
      </c>
      <c r="P175" s="24">
        <f>121600</f>
        <v>121600</v>
      </c>
      <c r="Q175" s="24"/>
      <c r="R175" s="26">
        <f>121600</f>
        <v>121600</v>
      </c>
      <c r="S175" s="26"/>
    </row>
    <row r="176" spans="1:19" s="1" customFormat="1" ht="24" customHeight="1">
      <c r="A176" s="22" t="s">
        <v>338</v>
      </c>
      <c r="B176" s="22"/>
      <c r="C176" s="22"/>
      <c r="D176" s="22"/>
      <c r="E176" s="22"/>
      <c r="F176" s="23" t="s">
        <v>311</v>
      </c>
      <c r="G176" s="23"/>
      <c r="H176" s="23"/>
      <c r="I176" s="24">
        <f>100000</f>
        <v>100000</v>
      </c>
      <c r="J176" s="24"/>
      <c r="K176" s="25">
        <f>100000</f>
        <v>100000</v>
      </c>
      <c r="L176" s="25"/>
      <c r="M176" s="12">
        <f>99400</f>
        <v>99400</v>
      </c>
      <c r="N176" s="13" t="s">
        <v>339</v>
      </c>
      <c r="O176" s="14" t="s">
        <v>339</v>
      </c>
      <c r="P176" s="24">
        <f>600</f>
        <v>600</v>
      </c>
      <c r="Q176" s="24"/>
      <c r="R176" s="26">
        <f>600</f>
        <v>600</v>
      </c>
      <c r="S176" s="26"/>
    </row>
    <row r="177" spans="1:19" s="1" customFormat="1" ht="13.5" customHeight="1">
      <c r="A177" s="22" t="s">
        <v>340</v>
      </c>
      <c r="B177" s="22"/>
      <c r="C177" s="22"/>
      <c r="D177" s="22"/>
      <c r="E177" s="22"/>
      <c r="F177" s="23" t="s">
        <v>168</v>
      </c>
      <c r="G177" s="23"/>
      <c r="H177" s="23"/>
      <c r="I177" s="24">
        <f>100000</f>
        <v>100000</v>
      </c>
      <c r="J177" s="24"/>
      <c r="K177" s="25">
        <f>100000</f>
        <v>100000</v>
      </c>
      <c r="L177" s="25"/>
      <c r="M177" s="12">
        <f>99400</f>
        <v>99400</v>
      </c>
      <c r="N177" s="13" t="s">
        <v>339</v>
      </c>
      <c r="O177" s="14" t="s">
        <v>339</v>
      </c>
      <c r="P177" s="24">
        <f>600</f>
        <v>600</v>
      </c>
      <c r="Q177" s="24"/>
      <c r="R177" s="26">
        <f>600</f>
        <v>600</v>
      </c>
      <c r="S177" s="26"/>
    </row>
    <row r="178" spans="1:19" s="1" customFormat="1" ht="15" customHeight="1">
      <c r="A178" s="18" t="s">
        <v>341</v>
      </c>
      <c r="B178" s="18"/>
      <c r="C178" s="18"/>
      <c r="D178" s="18"/>
      <c r="E178" s="18"/>
      <c r="F178" s="18"/>
      <c r="G178" s="18"/>
      <c r="H178" s="18"/>
      <c r="I178" s="19">
        <f>162019116.87</f>
        <v>162019116.87</v>
      </c>
      <c r="J178" s="19"/>
      <c r="K178" s="20">
        <f>162019116.87</f>
        <v>162019116.87</v>
      </c>
      <c r="L178" s="20"/>
      <c r="M178" s="15">
        <f>132878994.88</f>
        <v>132878994.88</v>
      </c>
      <c r="N178" s="15">
        <f>82.01</f>
        <v>82.01</v>
      </c>
      <c r="O178" s="16">
        <f>82.01</f>
        <v>82.01</v>
      </c>
      <c r="P178" s="19">
        <f>29140121.99</f>
        <v>29140121.99</v>
      </c>
      <c r="Q178" s="19"/>
      <c r="R178" s="21">
        <f>29140121.99</f>
        <v>29140121.99</v>
      </c>
      <c r="S178" s="21"/>
    </row>
    <row r="179" spans="1:19" s="1" customFormat="1" ht="15.75" customHeight="1">
      <c r="A179" s="17" t="s">
        <v>1</v>
      </c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</sheetData>
  <sheetProtection/>
  <mergeCells count="1021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E107"/>
    <mergeCell ref="F107:H107"/>
    <mergeCell ref="I107:J107"/>
    <mergeCell ref="K107:L107"/>
    <mergeCell ref="P107:Q107"/>
    <mergeCell ref="R107:S107"/>
    <mergeCell ref="A108:E108"/>
    <mergeCell ref="F108:H108"/>
    <mergeCell ref="I108:J108"/>
    <mergeCell ref="K108:L108"/>
    <mergeCell ref="P108:Q108"/>
    <mergeCell ref="R108:S108"/>
    <mergeCell ref="A109:E109"/>
    <mergeCell ref="F109:H109"/>
    <mergeCell ref="I109:J109"/>
    <mergeCell ref="K109:L109"/>
    <mergeCell ref="P109:Q109"/>
    <mergeCell ref="R109:S109"/>
    <mergeCell ref="A110:E110"/>
    <mergeCell ref="F110:H110"/>
    <mergeCell ref="I110:J110"/>
    <mergeCell ref="K110:L110"/>
    <mergeCell ref="P110:Q110"/>
    <mergeCell ref="R110:S110"/>
    <mergeCell ref="A111:E111"/>
    <mergeCell ref="F111:H111"/>
    <mergeCell ref="I111:J111"/>
    <mergeCell ref="K111:L111"/>
    <mergeCell ref="P111:Q111"/>
    <mergeCell ref="R111:S111"/>
    <mergeCell ref="A112:E112"/>
    <mergeCell ref="F112:H112"/>
    <mergeCell ref="I112:J112"/>
    <mergeCell ref="K112:L112"/>
    <mergeCell ref="P112:Q112"/>
    <mergeCell ref="R112:S112"/>
    <mergeCell ref="A113:E113"/>
    <mergeCell ref="F113:H113"/>
    <mergeCell ref="I113:J113"/>
    <mergeCell ref="K113:L113"/>
    <mergeCell ref="P113:Q113"/>
    <mergeCell ref="R113:S113"/>
    <mergeCell ref="A114:E114"/>
    <mergeCell ref="F114:H114"/>
    <mergeCell ref="I114:J114"/>
    <mergeCell ref="K114:L114"/>
    <mergeCell ref="P114:Q114"/>
    <mergeCell ref="R114:S114"/>
    <mergeCell ref="A115:E115"/>
    <mergeCell ref="F115:H115"/>
    <mergeCell ref="I115:J115"/>
    <mergeCell ref="K115:L115"/>
    <mergeCell ref="P115:Q115"/>
    <mergeCell ref="R115:S115"/>
    <mergeCell ref="A116:E116"/>
    <mergeCell ref="F116:H116"/>
    <mergeCell ref="I116:J116"/>
    <mergeCell ref="K116:L116"/>
    <mergeCell ref="P116:Q116"/>
    <mergeCell ref="R116:S116"/>
    <mergeCell ref="A117:E117"/>
    <mergeCell ref="F117:H117"/>
    <mergeCell ref="I117:J117"/>
    <mergeCell ref="K117:L117"/>
    <mergeCell ref="P117:Q117"/>
    <mergeCell ref="R117:S117"/>
    <mergeCell ref="A118:E118"/>
    <mergeCell ref="F118:H118"/>
    <mergeCell ref="I118:J118"/>
    <mergeCell ref="K118:L118"/>
    <mergeCell ref="P118:Q118"/>
    <mergeCell ref="R118:S118"/>
    <mergeCell ref="A119:E119"/>
    <mergeCell ref="F119:H119"/>
    <mergeCell ref="I119:J119"/>
    <mergeCell ref="K119:L119"/>
    <mergeCell ref="P119:Q119"/>
    <mergeCell ref="R119:S119"/>
    <mergeCell ref="A120:E120"/>
    <mergeCell ref="F120:H120"/>
    <mergeCell ref="I120:J120"/>
    <mergeCell ref="K120:L120"/>
    <mergeCell ref="P120:Q120"/>
    <mergeCell ref="R120:S120"/>
    <mergeCell ref="A121:E121"/>
    <mergeCell ref="F121:H121"/>
    <mergeCell ref="I121:J121"/>
    <mergeCell ref="K121:L121"/>
    <mergeCell ref="P121:Q121"/>
    <mergeCell ref="R121:S121"/>
    <mergeCell ref="A122:E122"/>
    <mergeCell ref="F122:H122"/>
    <mergeCell ref="I122:J122"/>
    <mergeCell ref="K122:L122"/>
    <mergeCell ref="P122:Q122"/>
    <mergeCell ref="R122:S122"/>
    <mergeCell ref="A123:E123"/>
    <mergeCell ref="F123:H123"/>
    <mergeCell ref="I123:J123"/>
    <mergeCell ref="K123:L123"/>
    <mergeCell ref="P123:Q123"/>
    <mergeCell ref="R123:S123"/>
    <mergeCell ref="A124:E124"/>
    <mergeCell ref="F124:H124"/>
    <mergeCell ref="I124:J124"/>
    <mergeCell ref="K124:L124"/>
    <mergeCell ref="P124:Q124"/>
    <mergeCell ref="R124:S124"/>
    <mergeCell ref="A125:E125"/>
    <mergeCell ref="F125:H125"/>
    <mergeCell ref="I125:J125"/>
    <mergeCell ref="K125:L125"/>
    <mergeCell ref="P125:Q125"/>
    <mergeCell ref="R125:S125"/>
    <mergeCell ref="A126:E126"/>
    <mergeCell ref="F126:H126"/>
    <mergeCell ref="I126:J126"/>
    <mergeCell ref="K126:L126"/>
    <mergeCell ref="P126:Q126"/>
    <mergeCell ref="R126:S126"/>
    <mergeCell ref="A127:E127"/>
    <mergeCell ref="F127:H127"/>
    <mergeCell ref="I127:J127"/>
    <mergeCell ref="K127:L127"/>
    <mergeCell ref="P127:Q127"/>
    <mergeCell ref="R127:S127"/>
    <mergeCell ref="A128:E128"/>
    <mergeCell ref="F128:H128"/>
    <mergeCell ref="I128:J128"/>
    <mergeCell ref="K128:L128"/>
    <mergeCell ref="P128:Q128"/>
    <mergeCell ref="R128:S128"/>
    <mergeCell ref="A129:E129"/>
    <mergeCell ref="F129:H129"/>
    <mergeCell ref="I129:J129"/>
    <mergeCell ref="K129:L129"/>
    <mergeCell ref="P129:Q129"/>
    <mergeCell ref="R129:S129"/>
    <mergeCell ref="A130:E130"/>
    <mergeCell ref="F130:H130"/>
    <mergeCell ref="I130:J130"/>
    <mergeCell ref="K130:L130"/>
    <mergeCell ref="P130:Q130"/>
    <mergeCell ref="R130:S130"/>
    <mergeCell ref="A131:E131"/>
    <mergeCell ref="F131:H131"/>
    <mergeCell ref="I131:J131"/>
    <mergeCell ref="K131:L131"/>
    <mergeCell ref="P131:Q131"/>
    <mergeCell ref="R131:S131"/>
    <mergeCell ref="A132:E132"/>
    <mergeCell ref="F132:H132"/>
    <mergeCell ref="I132:J132"/>
    <mergeCell ref="K132:L132"/>
    <mergeCell ref="P132:Q132"/>
    <mergeCell ref="R132:S132"/>
    <mergeCell ref="A133:E133"/>
    <mergeCell ref="F133:H133"/>
    <mergeCell ref="I133:J133"/>
    <mergeCell ref="K133:L133"/>
    <mergeCell ref="P133:Q133"/>
    <mergeCell ref="R133:S133"/>
    <mergeCell ref="A134:E134"/>
    <mergeCell ref="F134:H134"/>
    <mergeCell ref="I134:J134"/>
    <mergeCell ref="K134:L134"/>
    <mergeCell ref="P134:Q134"/>
    <mergeCell ref="R134:S134"/>
    <mergeCell ref="A135:E135"/>
    <mergeCell ref="F135:H135"/>
    <mergeCell ref="I135:J135"/>
    <mergeCell ref="K135:L135"/>
    <mergeCell ref="P135:Q135"/>
    <mergeCell ref="R135:S135"/>
    <mergeCell ref="A136:E136"/>
    <mergeCell ref="F136:H136"/>
    <mergeCell ref="I136:J136"/>
    <mergeCell ref="K136:L136"/>
    <mergeCell ref="P136:Q136"/>
    <mergeCell ref="R136:S136"/>
    <mergeCell ref="A137:E137"/>
    <mergeCell ref="F137:H137"/>
    <mergeCell ref="I137:J137"/>
    <mergeCell ref="K137:L137"/>
    <mergeCell ref="P137:Q137"/>
    <mergeCell ref="R137:S137"/>
    <mergeCell ref="A138:E138"/>
    <mergeCell ref="F138:H138"/>
    <mergeCell ref="I138:J138"/>
    <mergeCell ref="K138:L138"/>
    <mergeCell ref="P138:Q138"/>
    <mergeCell ref="R138:S138"/>
    <mergeCell ref="A139:E139"/>
    <mergeCell ref="F139:H139"/>
    <mergeCell ref="I139:J139"/>
    <mergeCell ref="K139:L139"/>
    <mergeCell ref="P139:Q139"/>
    <mergeCell ref="R139:S139"/>
    <mergeCell ref="A140:E140"/>
    <mergeCell ref="F140:H140"/>
    <mergeCell ref="I140:J140"/>
    <mergeCell ref="K140:L140"/>
    <mergeCell ref="P140:Q140"/>
    <mergeCell ref="R140:S140"/>
    <mergeCell ref="A141:E141"/>
    <mergeCell ref="F141:H141"/>
    <mergeCell ref="I141:J141"/>
    <mergeCell ref="K141:L141"/>
    <mergeCell ref="P141:Q141"/>
    <mergeCell ref="R141:S141"/>
    <mergeCell ref="A142:E142"/>
    <mergeCell ref="F142:H142"/>
    <mergeCell ref="I142:J142"/>
    <mergeCell ref="K142:L142"/>
    <mergeCell ref="P142:Q142"/>
    <mergeCell ref="R142:S142"/>
    <mergeCell ref="A143:E143"/>
    <mergeCell ref="F143:H143"/>
    <mergeCell ref="I143:J143"/>
    <mergeCell ref="K143:L143"/>
    <mergeCell ref="P143:Q143"/>
    <mergeCell ref="R143:S143"/>
    <mergeCell ref="A144:E144"/>
    <mergeCell ref="F144:H144"/>
    <mergeCell ref="I144:J144"/>
    <mergeCell ref="K144:L144"/>
    <mergeCell ref="P144:Q144"/>
    <mergeCell ref="R144:S144"/>
    <mergeCell ref="A145:E145"/>
    <mergeCell ref="F145:H145"/>
    <mergeCell ref="I145:J145"/>
    <mergeCell ref="K145:L145"/>
    <mergeCell ref="P145:Q145"/>
    <mergeCell ref="R145:S145"/>
    <mergeCell ref="A146:E146"/>
    <mergeCell ref="F146:H146"/>
    <mergeCell ref="I146:J146"/>
    <mergeCell ref="K146:L146"/>
    <mergeCell ref="P146:Q146"/>
    <mergeCell ref="R146:S146"/>
    <mergeCell ref="A147:E147"/>
    <mergeCell ref="F147:H147"/>
    <mergeCell ref="I147:J147"/>
    <mergeCell ref="K147:L147"/>
    <mergeCell ref="P147:Q147"/>
    <mergeCell ref="R147:S147"/>
    <mergeCell ref="A148:E148"/>
    <mergeCell ref="F148:H148"/>
    <mergeCell ref="I148:J148"/>
    <mergeCell ref="K148:L148"/>
    <mergeCell ref="P148:Q148"/>
    <mergeCell ref="R148:S148"/>
    <mergeCell ref="A149:E149"/>
    <mergeCell ref="F149:H149"/>
    <mergeCell ref="I149:J149"/>
    <mergeCell ref="K149:L149"/>
    <mergeCell ref="P149:Q149"/>
    <mergeCell ref="R149:S149"/>
    <mergeCell ref="A150:E150"/>
    <mergeCell ref="F150:H150"/>
    <mergeCell ref="I150:J150"/>
    <mergeCell ref="K150:L150"/>
    <mergeCell ref="P150:Q150"/>
    <mergeCell ref="R150:S150"/>
    <mergeCell ref="A151:E151"/>
    <mergeCell ref="F151:H151"/>
    <mergeCell ref="I151:J151"/>
    <mergeCell ref="K151:L151"/>
    <mergeCell ref="P151:Q151"/>
    <mergeCell ref="R151:S151"/>
    <mergeCell ref="A152:E152"/>
    <mergeCell ref="F152:H152"/>
    <mergeCell ref="I152:J152"/>
    <mergeCell ref="K152:L152"/>
    <mergeCell ref="P152:Q152"/>
    <mergeCell ref="R152:S152"/>
    <mergeCell ref="A153:E153"/>
    <mergeCell ref="F153:H153"/>
    <mergeCell ref="I153:J153"/>
    <mergeCell ref="K153:L153"/>
    <mergeCell ref="P153:Q153"/>
    <mergeCell ref="R153:S153"/>
    <mergeCell ref="A154:E154"/>
    <mergeCell ref="F154:H154"/>
    <mergeCell ref="I154:J154"/>
    <mergeCell ref="K154:L154"/>
    <mergeCell ref="P154:Q154"/>
    <mergeCell ref="R154:S154"/>
    <mergeCell ref="A155:E155"/>
    <mergeCell ref="F155:H155"/>
    <mergeCell ref="I155:J155"/>
    <mergeCell ref="K155:L155"/>
    <mergeCell ref="P155:Q155"/>
    <mergeCell ref="R155:S155"/>
    <mergeCell ref="A156:E156"/>
    <mergeCell ref="F156:H156"/>
    <mergeCell ref="I156:J156"/>
    <mergeCell ref="K156:L156"/>
    <mergeCell ref="P156:Q156"/>
    <mergeCell ref="R156:S156"/>
    <mergeCell ref="A157:E157"/>
    <mergeCell ref="F157:H157"/>
    <mergeCell ref="I157:J157"/>
    <mergeCell ref="K157:L157"/>
    <mergeCell ref="P157:Q157"/>
    <mergeCell ref="R157:S157"/>
    <mergeCell ref="A158:E158"/>
    <mergeCell ref="F158:H158"/>
    <mergeCell ref="I158:J158"/>
    <mergeCell ref="K158:L158"/>
    <mergeCell ref="P158:Q158"/>
    <mergeCell ref="R158:S158"/>
    <mergeCell ref="A159:E159"/>
    <mergeCell ref="F159:H159"/>
    <mergeCell ref="I159:J159"/>
    <mergeCell ref="K159:L159"/>
    <mergeCell ref="P159:Q159"/>
    <mergeCell ref="R159:S159"/>
    <mergeCell ref="A160:E160"/>
    <mergeCell ref="F160:H160"/>
    <mergeCell ref="I160:J160"/>
    <mergeCell ref="K160:L160"/>
    <mergeCell ref="P160:Q160"/>
    <mergeCell ref="R160:S160"/>
    <mergeCell ref="A161:E161"/>
    <mergeCell ref="F161:H161"/>
    <mergeCell ref="I161:J161"/>
    <mergeCell ref="K161:L161"/>
    <mergeCell ref="P161:Q161"/>
    <mergeCell ref="R161:S161"/>
    <mergeCell ref="A162:E162"/>
    <mergeCell ref="F162:H162"/>
    <mergeCell ref="I162:J162"/>
    <mergeCell ref="K162:L162"/>
    <mergeCell ref="P162:Q162"/>
    <mergeCell ref="R162:S162"/>
    <mergeCell ref="A163:E163"/>
    <mergeCell ref="F163:H163"/>
    <mergeCell ref="I163:J163"/>
    <mergeCell ref="K163:L163"/>
    <mergeCell ref="P163:Q163"/>
    <mergeCell ref="R163:S163"/>
    <mergeCell ref="A164:E164"/>
    <mergeCell ref="F164:H164"/>
    <mergeCell ref="I164:J164"/>
    <mergeCell ref="K164:L164"/>
    <mergeCell ref="P164:Q164"/>
    <mergeCell ref="R164:S164"/>
    <mergeCell ref="A165:E165"/>
    <mergeCell ref="F165:H165"/>
    <mergeCell ref="I165:J165"/>
    <mergeCell ref="K165:L165"/>
    <mergeCell ref="P165:Q165"/>
    <mergeCell ref="R165:S165"/>
    <mergeCell ref="A166:E166"/>
    <mergeCell ref="F166:H166"/>
    <mergeCell ref="I166:J166"/>
    <mergeCell ref="K166:L166"/>
    <mergeCell ref="P166:Q166"/>
    <mergeCell ref="R166:S166"/>
    <mergeCell ref="A167:E167"/>
    <mergeCell ref="F167:H167"/>
    <mergeCell ref="I167:J167"/>
    <mergeCell ref="K167:L167"/>
    <mergeCell ref="P167:Q167"/>
    <mergeCell ref="R167:S167"/>
    <mergeCell ref="A168:E168"/>
    <mergeCell ref="F168:H168"/>
    <mergeCell ref="I168:J168"/>
    <mergeCell ref="K168:L168"/>
    <mergeCell ref="P168:Q168"/>
    <mergeCell ref="R168:S168"/>
    <mergeCell ref="A169:E169"/>
    <mergeCell ref="F169:H169"/>
    <mergeCell ref="I169:J169"/>
    <mergeCell ref="K169:L169"/>
    <mergeCell ref="P169:Q169"/>
    <mergeCell ref="R169:S169"/>
    <mergeCell ref="A170:E170"/>
    <mergeCell ref="F170:H170"/>
    <mergeCell ref="I170:J170"/>
    <mergeCell ref="K170:L170"/>
    <mergeCell ref="P170:Q170"/>
    <mergeCell ref="R170:S170"/>
    <mergeCell ref="A171:E171"/>
    <mergeCell ref="F171:H171"/>
    <mergeCell ref="I171:J171"/>
    <mergeCell ref="K171:L171"/>
    <mergeCell ref="P171:Q171"/>
    <mergeCell ref="R171:S171"/>
    <mergeCell ref="A172:E172"/>
    <mergeCell ref="F172:H172"/>
    <mergeCell ref="I172:J172"/>
    <mergeCell ref="K172:L172"/>
    <mergeCell ref="P172:Q172"/>
    <mergeCell ref="R172:S172"/>
    <mergeCell ref="A173:E173"/>
    <mergeCell ref="F173:H173"/>
    <mergeCell ref="I173:J173"/>
    <mergeCell ref="K173:L173"/>
    <mergeCell ref="P173:Q173"/>
    <mergeCell ref="R173:S173"/>
    <mergeCell ref="A174:E174"/>
    <mergeCell ref="F174:H174"/>
    <mergeCell ref="I174:J174"/>
    <mergeCell ref="K174:L174"/>
    <mergeCell ref="P174:Q174"/>
    <mergeCell ref="R174:S174"/>
    <mergeCell ref="A175:E175"/>
    <mergeCell ref="F175:H175"/>
    <mergeCell ref="I175:J175"/>
    <mergeCell ref="K175:L175"/>
    <mergeCell ref="P175:Q175"/>
    <mergeCell ref="R175:S175"/>
    <mergeCell ref="A176:E176"/>
    <mergeCell ref="F176:H176"/>
    <mergeCell ref="I176:J176"/>
    <mergeCell ref="K176:L176"/>
    <mergeCell ref="P176:Q176"/>
    <mergeCell ref="R176:S176"/>
    <mergeCell ref="A177:E177"/>
    <mergeCell ref="F177:H177"/>
    <mergeCell ref="I177:J177"/>
    <mergeCell ref="K177:L177"/>
    <mergeCell ref="P177:Q177"/>
    <mergeCell ref="R177:S177"/>
    <mergeCell ref="A178:H178"/>
    <mergeCell ref="I178:J178"/>
    <mergeCell ref="K178:L178"/>
    <mergeCell ref="P178:Q178"/>
    <mergeCell ref="R178:S178"/>
    <mergeCell ref="A179:S179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2021-12-14T10:43:16Z</dcterms:created>
  <dcterms:modified xsi:type="dcterms:W3CDTF">2021-12-14T10:44:33Z</dcterms:modified>
  <cp:category/>
  <cp:version/>
  <cp:contentType/>
  <cp:contentStatus/>
</cp:coreProperties>
</file>